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firstSheet="1" activeTab="2"/>
  </bookViews>
  <sheets>
    <sheet name="SOURCE" sheetId="1" state="hidden" r:id="rId1"/>
    <sheet name="TUTORIAL" sheetId="3" r:id="rId2"/>
    <sheet name="ENGINE SV FORECASTER" sheetId="2" r:id="rId3"/>
  </sheets>
  <definedNames>
    <definedName name="_xlnm.Print_Area" localSheetId="2">'ENGINE SV FORECASTER'!$A$1:$CT$70</definedName>
  </definedNames>
  <calcPr calcId="145621"/>
</workbook>
</file>

<file path=xl/calcChain.xml><?xml version="1.0" encoding="utf-8"?>
<calcChain xmlns="http://schemas.openxmlformats.org/spreadsheetml/2006/main">
  <c r="CF9" i="2" l="1"/>
  <c r="CF10" i="2" s="1"/>
  <c r="CF7" i="2"/>
  <c r="BH18" i="2"/>
  <c r="BD18" i="2"/>
  <c r="AZ18" i="2"/>
  <c r="AH18" i="2"/>
  <c r="BX18" i="2"/>
  <c r="BW18" i="2"/>
  <c r="BS18" i="2"/>
  <c r="BT18" i="2" s="1"/>
  <c r="BO18" i="2"/>
  <c r="BP18" i="2" s="1"/>
  <c r="BW17" i="2"/>
  <c r="BW16" i="2" s="1"/>
  <c r="BW15" i="2" s="1"/>
  <c r="BW14" i="2" s="1"/>
  <c r="BX16" i="2"/>
  <c r="BX15" i="2"/>
  <c r="CC11" i="2"/>
  <c r="CC12" i="2" s="1"/>
  <c r="CC13" i="2" s="1"/>
  <c r="CC14" i="2" s="1"/>
  <c r="CC15" i="2" s="1"/>
  <c r="CC16" i="2" s="1"/>
  <c r="CC17" i="2" s="1"/>
  <c r="CC18" i="2" s="1"/>
  <c r="CC19" i="2" s="1"/>
  <c r="CC20" i="2" s="1"/>
  <c r="CC10" i="2"/>
  <c r="CC9" i="2"/>
  <c r="BG7" i="2"/>
  <c r="P30" i="1"/>
  <c r="O30" i="1"/>
  <c r="P29" i="1"/>
  <c r="O29" i="1"/>
  <c r="M29" i="1"/>
  <c r="P28" i="1"/>
  <c r="O28" i="1"/>
  <c r="M28" i="1"/>
  <c r="P27" i="1"/>
  <c r="O27" i="1"/>
  <c r="M27" i="1"/>
  <c r="K27" i="1"/>
  <c r="H27" i="1"/>
  <c r="P26" i="1"/>
  <c r="O26" i="1"/>
  <c r="M26" i="1"/>
  <c r="P25" i="1"/>
  <c r="O25" i="1"/>
  <c r="N25" i="1"/>
  <c r="M25" i="1"/>
  <c r="P24" i="1"/>
  <c r="O24" i="1"/>
  <c r="N24" i="1"/>
  <c r="M24" i="1"/>
  <c r="K24" i="1"/>
  <c r="H24" i="1"/>
  <c r="P23" i="1"/>
  <c r="O23" i="1"/>
  <c r="N30" i="1" s="1"/>
  <c r="M23" i="1"/>
  <c r="M22" i="1"/>
  <c r="M21" i="1"/>
  <c r="M20" i="1"/>
  <c r="K20" i="1"/>
  <c r="H20" i="1"/>
  <c r="M19" i="1"/>
  <c r="K19" i="1"/>
  <c r="H19" i="1"/>
  <c r="M18" i="1"/>
  <c r="AF16" i="1"/>
  <c r="AF17" i="1" s="1"/>
  <c r="AF18" i="1" s="1"/>
  <c r="AF19" i="1" s="1"/>
  <c r="AF20" i="1" s="1"/>
  <c r="AF21" i="1" s="1"/>
  <c r="AF22" i="1" s="1"/>
  <c r="AF23" i="1" s="1"/>
  <c r="AF24" i="1" s="1"/>
  <c r="AF25" i="1" s="1"/>
  <c r="M16" i="1"/>
  <c r="M15" i="1"/>
  <c r="AG14" i="1"/>
  <c r="AG13" i="1" s="1"/>
  <c r="AG12" i="1" s="1"/>
  <c r="AG11" i="1" s="1"/>
  <c r="AG10" i="1" s="1"/>
  <c r="AG9" i="1" s="1"/>
  <c r="AG8" i="1" s="1"/>
  <c r="AG7" i="1" s="1"/>
  <c r="AG6" i="1" s="1"/>
  <c r="AG5" i="1" s="1"/>
  <c r="AF14" i="1"/>
  <c r="AF13" i="1" s="1"/>
  <c r="AF12" i="1" s="1"/>
  <c r="AF11" i="1" s="1"/>
  <c r="AF10" i="1" s="1"/>
  <c r="AF9" i="1" s="1"/>
  <c r="AF8" i="1" s="1"/>
  <c r="AF7" i="1" s="1"/>
  <c r="AF6" i="1" s="1"/>
  <c r="AF5" i="1" s="1"/>
  <c r="M14" i="1"/>
  <c r="M12" i="1"/>
  <c r="K12" i="1"/>
  <c r="H12" i="1"/>
  <c r="M11" i="1"/>
  <c r="J11" i="1"/>
  <c r="K11" i="1" s="1"/>
  <c r="H11" i="1"/>
  <c r="M10" i="1"/>
  <c r="M9" i="1"/>
  <c r="K8" i="1"/>
  <c r="H8" i="1"/>
  <c r="M7" i="1"/>
  <c r="M6" i="1"/>
  <c r="BS17" i="2" l="1"/>
  <c r="BT17" i="2" s="1"/>
  <c r="AE5" i="2"/>
  <c r="CF6" i="2"/>
  <c r="CF8" i="2" s="1"/>
  <c r="AI18" i="2" s="1"/>
  <c r="BM18" i="2"/>
  <c r="BN18" i="2" s="1"/>
  <c r="AH38" i="2"/>
  <c r="BX14" i="2"/>
  <c r="BW13" i="2"/>
  <c r="BS16" i="2"/>
  <c r="BO17" i="2"/>
  <c r="BX17" i="2"/>
  <c r="BH38" i="2"/>
  <c r="BH28" i="2"/>
  <c r="BD38" i="2"/>
  <c r="AH23" i="2"/>
  <c r="AH33" i="2"/>
  <c r="AZ38" i="2"/>
  <c r="D45" i="2"/>
  <c r="AZ28" i="2"/>
  <c r="BU18" i="2" l="1"/>
  <c r="BU34" i="2" s="1"/>
  <c r="BA18" i="2"/>
  <c r="BA34" i="2" s="1"/>
  <c r="BE18" i="2"/>
  <c r="BE30" i="2" s="1"/>
  <c r="BI18" i="2"/>
  <c r="BK18" i="2" s="1"/>
  <c r="BJ18" i="2" s="1"/>
  <c r="BQ18" i="2"/>
  <c r="BR18" i="2" s="1"/>
  <c r="BM28" i="2"/>
  <c r="BM13" i="2"/>
  <c r="BM38" i="2"/>
  <c r="BM23" i="2"/>
  <c r="BA8" i="2"/>
  <c r="BN37" i="2"/>
  <c r="BN35" i="2"/>
  <c r="BN38" i="2"/>
  <c r="BN34" i="2"/>
  <c r="BN32" i="2"/>
  <c r="BN30" i="2"/>
  <c r="BN28" i="2"/>
  <c r="BN26" i="2"/>
  <c r="BN33" i="2"/>
  <c r="BN31" i="2"/>
  <c r="BN25" i="2"/>
  <c r="BN23" i="2"/>
  <c r="BN29" i="2"/>
  <c r="BN24" i="2"/>
  <c r="BP38" i="2"/>
  <c r="BO38" i="2" s="1"/>
  <c r="AH13" i="2"/>
  <c r="BH33" i="2"/>
  <c r="BT16" i="2"/>
  <c r="BS15" i="2"/>
  <c r="BN22" i="2"/>
  <c r="BD33" i="2"/>
  <c r="AZ23" i="2"/>
  <c r="AI37" i="2"/>
  <c r="AI34" i="2"/>
  <c r="AI32" i="2"/>
  <c r="AI30" i="2"/>
  <c r="AI36" i="2"/>
  <c r="AI38" i="2"/>
  <c r="AK38" i="2" s="1"/>
  <c r="AJ38" i="2" s="1"/>
  <c r="AI35" i="2"/>
  <c r="AI33" i="2"/>
  <c r="AK33" i="2" s="1"/>
  <c r="AJ33" i="2" s="1"/>
  <c r="AI31" i="2"/>
  <c r="AI23" i="2"/>
  <c r="AK23" i="2" s="1"/>
  <c r="AJ23" i="2" s="1"/>
  <c r="AI28" i="2"/>
  <c r="AI15" i="2"/>
  <c r="AI9" i="2"/>
  <c r="AI11" i="2"/>
  <c r="AI29" i="2"/>
  <c r="AI17" i="2"/>
  <c r="AI14" i="2"/>
  <c r="AI13" i="2"/>
  <c r="AI10" i="2"/>
  <c r="AK18" i="2"/>
  <c r="AI16" i="2"/>
  <c r="AI12" i="2"/>
  <c r="AI8" i="2"/>
  <c r="BX13" i="2"/>
  <c r="BW12" i="2"/>
  <c r="AZ8" i="2"/>
  <c r="BD8" i="2"/>
  <c r="BH8" i="2"/>
  <c r="BM8" i="2"/>
  <c r="BP17" i="2"/>
  <c r="BO16" i="2"/>
  <c r="BH23" i="2"/>
  <c r="BD23" i="2"/>
  <c r="AH28" i="2"/>
  <c r="AH8" i="2"/>
  <c r="AZ33" i="2"/>
  <c r="BI30" i="2"/>
  <c r="BI28" i="2"/>
  <c r="BK28" i="2" s="1"/>
  <c r="BJ28" i="2" s="1"/>
  <c r="BI25" i="2"/>
  <c r="BI26" i="2"/>
  <c r="BI17" i="2"/>
  <c r="BI23" i="2"/>
  <c r="BI36" i="2"/>
  <c r="BI14" i="2"/>
  <c r="BM33" i="2"/>
  <c r="BD28" i="2"/>
  <c r="BH13" i="2"/>
  <c r="AZ13" i="2"/>
  <c r="BD13" i="2"/>
  <c r="AI22" i="2"/>
  <c r="AI27" i="2"/>
  <c r="BI38" i="2" l="1"/>
  <c r="BK38" i="2" s="1"/>
  <c r="BJ38" i="2" s="1"/>
  <c r="BI29" i="2"/>
  <c r="BP33" i="2"/>
  <c r="BO33" i="2" s="1"/>
  <c r="BE31" i="2"/>
  <c r="BQ34" i="2"/>
  <c r="BU28" i="2"/>
  <c r="BE13" i="2"/>
  <c r="BG13" i="2" s="1"/>
  <c r="BF13" i="2" s="1"/>
  <c r="BQ23" i="2"/>
  <c r="BU33" i="2"/>
  <c r="BI11" i="2"/>
  <c r="BI19" i="2"/>
  <c r="BI15" i="2"/>
  <c r="BI31" i="2"/>
  <c r="BI32" i="2"/>
  <c r="BQ38" i="2"/>
  <c r="BI10" i="2"/>
  <c r="BI27" i="2"/>
  <c r="BI16" i="2"/>
  <c r="BI24" i="2"/>
  <c r="BI33" i="2"/>
  <c r="BK33" i="2" s="1"/>
  <c r="BJ33" i="2" s="1"/>
  <c r="BI37" i="2"/>
  <c r="BE17" i="2"/>
  <c r="BU23" i="2"/>
  <c r="BG18" i="2"/>
  <c r="BF18" i="2" s="1"/>
  <c r="BE32" i="2"/>
  <c r="BQ13" i="2"/>
  <c r="BQ33" i="2"/>
  <c r="BU24" i="2"/>
  <c r="BU38" i="2"/>
  <c r="BE23" i="2"/>
  <c r="BG23" i="2" s="1"/>
  <c r="BF23" i="2" s="1"/>
  <c r="BQ28" i="2"/>
  <c r="BU13" i="2"/>
  <c r="BV13" i="2" s="1"/>
  <c r="BV18" i="2"/>
  <c r="BV34" i="2" s="1"/>
  <c r="BX34" i="2" s="1"/>
  <c r="BW34" i="2" s="1"/>
  <c r="BE14" i="2"/>
  <c r="BE26" i="2"/>
  <c r="BE8" i="2"/>
  <c r="BG8" i="2" s="1"/>
  <c r="BF8" i="2" s="1"/>
  <c r="BE27" i="2"/>
  <c r="BE33" i="2"/>
  <c r="BG33" i="2" s="1"/>
  <c r="BF33" i="2" s="1"/>
  <c r="BE38" i="2"/>
  <c r="BG38" i="2" s="1"/>
  <c r="BF38" i="2" s="1"/>
  <c r="BA33" i="2"/>
  <c r="BC33" i="2" s="1"/>
  <c r="BB33" i="2" s="1"/>
  <c r="BE16" i="2"/>
  <c r="BE25" i="2"/>
  <c r="BE22" i="2"/>
  <c r="BE9" i="2"/>
  <c r="BE24" i="2"/>
  <c r="BE28" i="2"/>
  <c r="BG28" i="2" s="1"/>
  <c r="BF28" i="2" s="1"/>
  <c r="BE37" i="2"/>
  <c r="BE12" i="2"/>
  <c r="BE11" i="2"/>
  <c r="BE10" i="2"/>
  <c r="BE15" i="2"/>
  <c r="BE29" i="2"/>
  <c r="BQ29" i="2"/>
  <c r="BQ24" i="2"/>
  <c r="BU8" i="2"/>
  <c r="BA27" i="2"/>
  <c r="BP28" i="2"/>
  <c r="BO28" i="2" s="1"/>
  <c r="BA21" i="2"/>
  <c r="BA35" i="2"/>
  <c r="BA29" i="2"/>
  <c r="BA11" i="2"/>
  <c r="BA36" i="2"/>
  <c r="BA30" i="2"/>
  <c r="BA14" i="2"/>
  <c r="BA16" i="2"/>
  <c r="BA15" i="2"/>
  <c r="BA28" i="2"/>
  <c r="BC28" i="2" s="1"/>
  <c r="BB28" i="2" s="1"/>
  <c r="BA37" i="2"/>
  <c r="BA25" i="2"/>
  <c r="BA10" i="2"/>
  <c r="BC18" i="2"/>
  <c r="BB18" i="2" s="1"/>
  <c r="BA17" i="2"/>
  <c r="BA23" i="2"/>
  <c r="BC23" i="2" s="1"/>
  <c r="BB23" i="2" s="1"/>
  <c r="BA32" i="2"/>
  <c r="BI13" i="2"/>
  <c r="BK13" i="2" s="1"/>
  <c r="BJ13" i="2" s="1"/>
  <c r="BI8" i="2"/>
  <c r="BK8" i="2" s="1"/>
  <c r="BJ8" i="2" s="1"/>
  <c r="BI12" i="2"/>
  <c r="BI9" i="2"/>
  <c r="BI20" i="2"/>
  <c r="BI35" i="2"/>
  <c r="BI34" i="2"/>
  <c r="BQ8" i="2"/>
  <c r="BA31" i="2"/>
  <c r="BA13" i="2"/>
  <c r="BC13" i="2" s="1"/>
  <c r="BA12" i="2"/>
  <c r="BA9" i="2"/>
  <c r="BA38" i="2"/>
  <c r="BC38" i="2" s="1"/>
  <c r="BB38" i="2" s="1"/>
  <c r="BP23" i="2"/>
  <c r="BO23" i="2" s="1"/>
  <c r="BC8" i="2"/>
  <c r="BB8" i="2" s="1"/>
  <c r="AK28" i="2"/>
  <c r="AJ28" i="2" s="1"/>
  <c r="AI25" i="2"/>
  <c r="AI26" i="2"/>
  <c r="AH9" i="2"/>
  <c r="AK9" i="2" s="1"/>
  <c r="AJ9" i="2" s="1"/>
  <c r="BD19" i="2"/>
  <c r="AZ19" i="2"/>
  <c r="BM19" i="2"/>
  <c r="BH19" i="2"/>
  <c r="BK19" i="2" s="1"/>
  <c r="BJ19" i="2" s="1"/>
  <c r="BD9" i="2"/>
  <c r="BH9" i="2"/>
  <c r="AZ9" i="2"/>
  <c r="BM9" i="2"/>
  <c r="AI21" i="2"/>
  <c r="BQ19" i="2"/>
  <c r="BU19" i="2"/>
  <c r="BQ9" i="2"/>
  <c r="BR37" i="2"/>
  <c r="BR35" i="2"/>
  <c r="BR34" i="2"/>
  <c r="BR32" i="2"/>
  <c r="BR30" i="2"/>
  <c r="BR28" i="2"/>
  <c r="BR38" i="2"/>
  <c r="BT38" i="2" s="1"/>
  <c r="BS38" i="2" s="1"/>
  <c r="BR20" i="2"/>
  <c r="BR36" i="2"/>
  <c r="BR33" i="2"/>
  <c r="BR31" i="2"/>
  <c r="BR27" i="2"/>
  <c r="BR23" i="2"/>
  <c r="BR29" i="2"/>
  <c r="BR26" i="2"/>
  <c r="BR22" i="2"/>
  <c r="BR19" i="2"/>
  <c r="BR24" i="2"/>
  <c r="BR25" i="2"/>
  <c r="BR21" i="2"/>
  <c r="BU9" i="2"/>
  <c r="BN20" i="2"/>
  <c r="BA19" i="2"/>
  <c r="BD14" i="2"/>
  <c r="BM14" i="2"/>
  <c r="AZ14" i="2"/>
  <c r="BH14" i="2"/>
  <c r="BK14" i="2" s="1"/>
  <c r="BJ14" i="2" s="1"/>
  <c r="AZ29" i="2"/>
  <c r="BH29" i="2"/>
  <c r="BM29" i="2"/>
  <c r="BP29" i="2" s="1"/>
  <c r="BO29" i="2" s="1"/>
  <c r="BD29" i="2"/>
  <c r="BI22" i="2"/>
  <c r="BI21" i="2"/>
  <c r="AH19" i="2"/>
  <c r="BK23" i="2"/>
  <c r="BJ23" i="2" s="1"/>
  <c r="AI24" i="2"/>
  <c r="BE21" i="2"/>
  <c r="BE20" i="2"/>
  <c r="BE35" i="2"/>
  <c r="BE34" i="2"/>
  <c r="BU14" i="2"/>
  <c r="BV14" i="2" s="1"/>
  <c r="BD34" i="2"/>
  <c r="BM34" i="2"/>
  <c r="BP34" i="2" s="1"/>
  <c r="BO34" i="2" s="1"/>
  <c r="AZ34" i="2"/>
  <c r="BC34" i="2" s="1"/>
  <c r="BB34" i="2" s="1"/>
  <c r="BH34" i="2"/>
  <c r="BN27" i="2"/>
  <c r="BN21" i="2"/>
  <c r="BN19" i="2"/>
  <c r="BN36" i="2"/>
  <c r="BA24" i="2"/>
  <c r="BA22" i="2"/>
  <c r="AH29" i="2"/>
  <c r="AK29" i="2" s="1"/>
  <c r="AJ29" i="2" s="1"/>
  <c r="AI20" i="2"/>
  <c r="AH14" i="2"/>
  <c r="AK14" i="2" s="1"/>
  <c r="AJ14" i="2" s="1"/>
  <c r="AH24" i="2"/>
  <c r="BP16" i="2"/>
  <c r="BO15" i="2"/>
  <c r="BW11" i="2"/>
  <c r="BX12" i="2"/>
  <c r="AK8" i="2"/>
  <c r="AJ8" i="2" s="1"/>
  <c r="BM24" i="2"/>
  <c r="BP24" i="2" s="1"/>
  <c r="BO24" i="2" s="1"/>
  <c r="BD24" i="2"/>
  <c r="AZ24" i="2"/>
  <c r="BH24" i="2"/>
  <c r="BK24" i="2" s="1"/>
  <c r="BJ24" i="2" s="1"/>
  <c r="AH34" i="2"/>
  <c r="AK34" i="2" s="1"/>
  <c r="AJ34" i="2" s="1"/>
  <c r="AJ18" i="2"/>
  <c r="AI19" i="2"/>
  <c r="BE19" i="2"/>
  <c r="BE36" i="2"/>
  <c r="BS14" i="2"/>
  <c r="BT15" i="2"/>
  <c r="BQ14" i="2"/>
  <c r="BU29" i="2"/>
  <c r="AK13" i="2"/>
  <c r="AJ13" i="2" s="1"/>
  <c r="BA26" i="2"/>
  <c r="BA20" i="2"/>
  <c r="BK29" i="2" l="1"/>
  <c r="BJ29" i="2" s="1"/>
  <c r="BV23" i="2"/>
  <c r="BX23" i="2" s="1"/>
  <c r="BW23" i="2" s="1"/>
  <c r="BV30" i="2"/>
  <c r="BV19" i="2"/>
  <c r="BV20" i="2"/>
  <c r="BV38" i="2"/>
  <c r="BX38" i="2" s="1"/>
  <c r="BW38" i="2" s="1"/>
  <c r="BT34" i="2"/>
  <c r="BS34" i="2" s="1"/>
  <c r="BV22" i="2"/>
  <c r="BV31" i="2"/>
  <c r="BV35" i="2"/>
  <c r="BV29" i="2"/>
  <c r="BV28" i="2"/>
  <c r="BX28" i="2" s="1"/>
  <c r="BW28" i="2" s="1"/>
  <c r="BK34" i="2"/>
  <c r="BJ34" i="2" s="1"/>
  <c r="BV21" i="2"/>
  <c r="BV27" i="2"/>
  <c r="BV33" i="2"/>
  <c r="BX33" i="2" s="1"/>
  <c r="BW33" i="2" s="1"/>
  <c r="BV32" i="2"/>
  <c r="BV37" i="2"/>
  <c r="BT24" i="2"/>
  <c r="BS24" i="2" s="1"/>
  <c r="BT29" i="2"/>
  <c r="BS29" i="2" s="1"/>
  <c r="BK9" i="2"/>
  <c r="BJ9" i="2" s="1"/>
  <c r="BV26" i="2"/>
  <c r="BV25" i="2"/>
  <c r="BV24" i="2"/>
  <c r="BX24" i="2" s="1"/>
  <c r="BW24" i="2" s="1"/>
  <c r="BV36" i="2"/>
  <c r="BT33" i="2"/>
  <c r="BS33" i="2" s="1"/>
  <c r="BT28" i="2"/>
  <c r="BS28" i="2" s="1"/>
  <c r="BG14" i="2"/>
  <c r="BF14" i="2" s="1"/>
  <c r="BT23" i="2"/>
  <c r="BS23" i="2" s="1"/>
  <c r="BG9" i="2"/>
  <c r="BF9" i="2" s="1"/>
  <c r="BG29" i="2"/>
  <c r="BF29" i="2" s="1"/>
  <c r="BG24" i="2"/>
  <c r="BF24" i="2" s="1"/>
  <c r="BC9" i="2"/>
  <c r="BB9" i="2" s="1"/>
  <c r="BB13" i="2"/>
  <c r="BC29" i="2"/>
  <c r="BB29" i="2" s="1"/>
  <c r="BC14" i="2"/>
  <c r="BB14" i="2" s="1"/>
  <c r="BG34" i="2"/>
  <c r="BF34" i="2" s="1"/>
  <c r="BX19" i="2"/>
  <c r="BW19" i="2" s="1"/>
  <c r="BX29" i="2"/>
  <c r="BW29" i="2" s="1"/>
  <c r="AK24" i="2"/>
  <c r="AJ24" i="2" s="1"/>
  <c r="AK19" i="2"/>
  <c r="AJ19" i="2" s="1"/>
  <c r="BG19" i="2"/>
  <c r="BF19" i="2" s="1"/>
  <c r="BD25" i="2"/>
  <c r="AZ25" i="2"/>
  <c r="BH25" i="2"/>
  <c r="BM25" i="2"/>
  <c r="BP25" i="2" s="1"/>
  <c r="BO25" i="2" s="1"/>
  <c r="BU25" i="2"/>
  <c r="BX25" i="2" s="1"/>
  <c r="BW25" i="2" s="1"/>
  <c r="BQ25" i="2"/>
  <c r="BT25" i="2" s="1"/>
  <c r="BS25" i="2" s="1"/>
  <c r="BP15" i="2"/>
  <c r="BO14" i="2"/>
  <c r="BH35" i="2"/>
  <c r="BD35" i="2"/>
  <c r="AZ35" i="2"/>
  <c r="BM35" i="2"/>
  <c r="BP35" i="2" s="1"/>
  <c r="BO35" i="2" s="1"/>
  <c r="BU35" i="2"/>
  <c r="BQ35" i="2"/>
  <c r="BT35" i="2" s="1"/>
  <c r="BS35" i="2" s="1"/>
  <c r="AZ15" i="2"/>
  <c r="BH15" i="2"/>
  <c r="BD15" i="2"/>
  <c r="BM15" i="2"/>
  <c r="BU15" i="2"/>
  <c r="BV15" i="2" s="1"/>
  <c r="BQ15" i="2"/>
  <c r="BR15" i="2" s="1"/>
  <c r="BH20" i="2"/>
  <c r="AZ20" i="2"/>
  <c r="BD20" i="2"/>
  <c r="BM20" i="2"/>
  <c r="BP20" i="2" s="1"/>
  <c r="BO20" i="2" s="1"/>
  <c r="BU20" i="2"/>
  <c r="BQ20" i="2"/>
  <c r="BT20" i="2" s="1"/>
  <c r="BS20" i="2" s="1"/>
  <c r="AH15" i="2"/>
  <c r="AK15" i="2" s="1"/>
  <c r="AJ15" i="2" s="1"/>
  <c r="AH30" i="2"/>
  <c r="AK30" i="2" s="1"/>
  <c r="AJ30" i="2" s="1"/>
  <c r="AH20" i="2"/>
  <c r="AK20" i="2" s="1"/>
  <c r="AJ20" i="2" s="1"/>
  <c r="BT19" i="2"/>
  <c r="BS19" i="2" s="1"/>
  <c r="BH10" i="2"/>
  <c r="AZ10" i="2"/>
  <c r="BD10" i="2"/>
  <c r="BM10" i="2"/>
  <c r="BU10" i="2"/>
  <c r="BQ10" i="2"/>
  <c r="BP19" i="2"/>
  <c r="BO19" i="2" s="1"/>
  <c r="BS13" i="2"/>
  <c r="BT14" i="2"/>
  <c r="BR14" i="2" s="1"/>
  <c r="BD30" i="2"/>
  <c r="BM30" i="2"/>
  <c r="BP30" i="2" s="1"/>
  <c r="BO30" i="2" s="1"/>
  <c r="AZ30" i="2"/>
  <c r="BH30" i="2"/>
  <c r="BU30" i="2"/>
  <c r="BX30" i="2" s="1"/>
  <c r="BW30" i="2" s="1"/>
  <c r="BQ30" i="2"/>
  <c r="BT30" i="2" s="1"/>
  <c r="BS30" i="2" s="1"/>
  <c r="BC24" i="2"/>
  <c r="AH35" i="2"/>
  <c r="AK35" i="2" s="1"/>
  <c r="AJ35" i="2" s="1"/>
  <c r="BX11" i="2"/>
  <c r="BW10" i="2"/>
  <c r="AH25" i="2"/>
  <c r="AK25" i="2" s="1"/>
  <c r="BC19" i="2"/>
  <c r="AH10" i="2"/>
  <c r="AK10" i="2" s="1"/>
  <c r="AJ10" i="2" s="1"/>
  <c r="BX20" i="2" l="1"/>
  <c r="BW20" i="2" s="1"/>
  <c r="BX35" i="2"/>
  <c r="BW35" i="2" s="1"/>
  <c r="AJ25" i="2"/>
  <c r="I10" i="2" s="1"/>
  <c r="I8" i="2"/>
  <c r="CH6" i="2" s="1"/>
  <c r="BN15" i="2"/>
  <c r="BX10" i="2"/>
  <c r="BW9" i="2"/>
  <c r="BC30" i="2"/>
  <c r="BC10" i="2"/>
  <c r="AH32" i="2"/>
  <c r="AK32" i="2" s="1"/>
  <c r="AJ32" i="2" s="1"/>
  <c r="AH31" i="2"/>
  <c r="AK31" i="2" s="1"/>
  <c r="AJ31" i="2" s="1"/>
  <c r="BK20" i="2"/>
  <c r="BD16" i="2"/>
  <c r="AZ16" i="2"/>
  <c r="BH16" i="2"/>
  <c r="BM16" i="2"/>
  <c r="BN16" i="2" s="1"/>
  <c r="BU16" i="2"/>
  <c r="BV16" i="2" s="1"/>
  <c r="BQ16" i="2"/>
  <c r="BR16" i="2" s="1"/>
  <c r="BC35" i="2"/>
  <c r="BB19" i="2"/>
  <c r="BV10" i="2"/>
  <c r="BG30" i="2"/>
  <c r="BD11" i="2"/>
  <c r="AZ11" i="2"/>
  <c r="BH11" i="2"/>
  <c r="BM11" i="2"/>
  <c r="BU11" i="2"/>
  <c r="BV11" i="2" s="1"/>
  <c r="BQ11" i="2"/>
  <c r="AH22" i="2"/>
  <c r="AK22" i="2" s="1"/>
  <c r="AJ22" i="2" s="1"/>
  <c r="AH21" i="2"/>
  <c r="AK21" i="2" s="1"/>
  <c r="AJ21" i="2" s="1"/>
  <c r="BG20" i="2"/>
  <c r="BK15" i="2"/>
  <c r="BK35" i="2"/>
  <c r="BP14" i="2"/>
  <c r="BN14" i="2" s="1"/>
  <c r="BO13" i="2"/>
  <c r="BG25" i="2"/>
  <c r="BB24" i="2"/>
  <c r="BD26" i="2"/>
  <c r="AZ26" i="2"/>
  <c r="BH26" i="2"/>
  <c r="BM26" i="2"/>
  <c r="BP26" i="2" s="1"/>
  <c r="BO26" i="2" s="1"/>
  <c r="BQ26" i="2"/>
  <c r="BT26" i="2" s="1"/>
  <c r="BS26" i="2" s="1"/>
  <c r="BU26" i="2"/>
  <c r="BX26" i="2" s="1"/>
  <c r="BW26" i="2" s="1"/>
  <c r="BT13" i="2"/>
  <c r="BR13" i="2" s="1"/>
  <c r="BS12" i="2"/>
  <c r="BK10" i="2"/>
  <c r="AH17" i="2"/>
  <c r="AK17" i="2" s="1"/>
  <c r="AJ17" i="2" s="1"/>
  <c r="AH16" i="2"/>
  <c r="AK16" i="2" s="1"/>
  <c r="AJ16" i="2" s="1"/>
  <c r="BD21" i="2"/>
  <c r="AZ21" i="2"/>
  <c r="BH21" i="2"/>
  <c r="BM21" i="2"/>
  <c r="BP21" i="2" s="1"/>
  <c r="BO21" i="2" s="1"/>
  <c r="BU21" i="2"/>
  <c r="BX21" i="2" s="1"/>
  <c r="BW21" i="2" s="1"/>
  <c r="BQ21" i="2"/>
  <c r="BT21" i="2" s="1"/>
  <c r="BS21" i="2" s="1"/>
  <c r="BG15" i="2"/>
  <c r="BG35" i="2"/>
  <c r="BC25" i="2"/>
  <c r="AH12" i="2"/>
  <c r="AK12" i="2" s="1"/>
  <c r="AJ12" i="2" s="1"/>
  <c r="AH11" i="2"/>
  <c r="AK11" i="2" s="1"/>
  <c r="AJ11" i="2" s="1"/>
  <c r="AH27" i="2"/>
  <c r="AK27" i="2" s="1"/>
  <c r="AJ27" i="2" s="1"/>
  <c r="AH26" i="2"/>
  <c r="AK26" i="2" s="1"/>
  <c r="AJ26" i="2" s="1"/>
  <c r="AH37" i="2"/>
  <c r="AK37" i="2" s="1"/>
  <c r="AJ37" i="2" s="1"/>
  <c r="AH36" i="2"/>
  <c r="AK36" i="2" s="1"/>
  <c r="AJ36" i="2" s="1"/>
  <c r="BK30" i="2"/>
  <c r="BH31" i="2"/>
  <c r="BD31" i="2"/>
  <c r="AZ31" i="2"/>
  <c r="BM31" i="2"/>
  <c r="BP31" i="2" s="1"/>
  <c r="BO31" i="2" s="1"/>
  <c r="BQ31" i="2"/>
  <c r="BT31" i="2" s="1"/>
  <c r="BS31" i="2" s="1"/>
  <c r="BU31" i="2"/>
  <c r="BX31" i="2" s="1"/>
  <c r="BW31" i="2" s="1"/>
  <c r="BG10" i="2"/>
  <c r="BC20" i="2"/>
  <c r="BC15" i="2"/>
  <c r="BH36" i="2"/>
  <c r="BD36" i="2"/>
  <c r="BM36" i="2"/>
  <c r="BP36" i="2" s="1"/>
  <c r="BO36" i="2" s="1"/>
  <c r="AZ36" i="2"/>
  <c r="BU36" i="2"/>
  <c r="BX36" i="2" s="1"/>
  <c r="BW36" i="2" s="1"/>
  <c r="BQ36" i="2"/>
  <c r="BT36" i="2" s="1"/>
  <c r="BS36" i="2" s="1"/>
  <c r="BK25" i="2"/>
  <c r="H37" i="2" l="1"/>
  <c r="F28" i="2"/>
  <c r="G28" i="2" s="1"/>
  <c r="H32" i="2"/>
  <c r="H28" i="2"/>
  <c r="H42" i="2"/>
  <c r="F32" i="2"/>
  <c r="G32" i="2" s="1"/>
  <c r="F43" i="2"/>
  <c r="G43" i="2" s="1"/>
  <c r="H36" i="2"/>
  <c r="H43" i="2"/>
  <c r="F44" i="2"/>
  <c r="G44" i="2" s="1"/>
  <c r="H38" i="2"/>
  <c r="F30" i="2"/>
  <c r="G30" i="2" s="1"/>
  <c r="F31" i="2"/>
  <c r="G31" i="2" s="1"/>
  <c r="H27" i="2"/>
  <c r="F40" i="2"/>
  <c r="G40" i="2" s="1"/>
  <c r="F36" i="2"/>
  <c r="G36" i="2" s="1"/>
  <c r="F34" i="2"/>
  <c r="G34" i="2" s="1"/>
  <c r="F35" i="2"/>
  <c r="G35" i="2" s="1"/>
  <c r="CI6" i="2"/>
  <c r="F42" i="2"/>
  <c r="G42" i="2" s="1"/>
  <c r="F27" i="2"/>
  <c r="G27" i="2" s="1"/>
  <c r="H40" i="2"/>
  <c r="H39" i="2"/>
  <c r="H44" i="2"/>
  <c r="F33" i="2"/>
  <c r="G33" i="2" s="1"/>
  <c r="H30" i="2"/>
  <c r="H41" i="2"/>
  <c r="F39" i="2"/>
  <c r="G39" i="2" s="1"/>
  <c r="F29" i="2"/>
  <c r="G29" i="2" s="1"/>
  <c r="H31" i="2"/>
  <c r="F37" i="2"/>
  <c r="G37" i="2" s="1"/>
  <c r="H34" i="2"/>
  <c r="H33" i="2"/>
  <c r="F38" i="2"/>
  <c r="G38" i="2" s="1"/>
  <c r="F41" i="2"/>
  <c r="G41" i="2" s="1"/>
  <c r="H35" i="2"/>
  <c r="H29" i="2"/>
  <c r="BG21" i="2"/>
  <c r="BJ10" i="2"/>
  <c r="BP13" i="2"/>
  <c r="BN13" i="2" s="1"/>
  <c r="BO12" i="2"/>
  <c r="BD12" i="2"/>
  <c r="BH12" i="2"/>
  <c r="AZ12" i="2"/>
  <c r="BM12" i="2"/>
  <c r="BU12" i="2"/>
  <c r="BV12" i="2" s="1"/>
  <c r="BQ12" i="2"/>
  <c r="BB15" i="2"/>
  <c r="BC31" i="2"/>
  <c r="BB25" i="2"/>
  <c r="BK21" i="2"/>
  <c r="BD27" i="2"/>
  <c r="AZ27" i="2"/>
  <c r="BH27" i="2"/>
  <c r="BM27" i="2"/>
  <c r="BP27" i="2" s="1"/>
  <c r="BO27" i="2" s="1"/>
  <c r="BU27" i="2"/>
  <c r="BX27" i="2" s="1"/>
  <c r="BW27" i="2" s="1"/>
  <c r="BQ27" i="2"/>
  <c r="BT27" i="2" s="1"/>
  <c r="BS27" i="2" s="1"/>
  <c r="BJ15" i="2"/>
  <c r="BD17" i="2"/>
  <c r="AZ17" i="2"/>
  <c r="BH17" i="2"/>
  <c r="BM17" i="2"/>
  <c r="BN17" i="2" s="1"/>
  <c r="BU17" i="2"/>
  <c r="BV17" i="2" s="1"/>
  <c r="BQ17" i="2"/>
  <c r="BR17" i="2" s="1"/>
  <c r="BB30" i="2"/>
  <c r="BK36" i="2"/>
  <c r="BG31" i="2"/>
  <c r="BJ30" i="2"/>
  <c r="BC21" i="2"/>
  <c r="BK26" i="2"/>
  <c r="BC11" i="2"/>
  <c r="BB35" i="2"/>
  <c r="BK16" i="2"/>
  <c r="BX9" i="2"/>
  <c r="BV9" i="2" s="1"/>
  <c r="BW8" i="2"/>
  <c r="BX8" i="2" s="1"/>
  <c r="BV8" i="2" s="1"/>
  <c r="BJ25" i="2"/>
  <c r="BD32" i="2"/>
  <c r="AZ32" i="2"/>
  <c r="BH32" i="2"/>
  <c r="BM32" i="2"/>
  <c r="BP32" i="2" s="1"/>
  <c r="BO32" i="2" s="1"/>
  <c r="BU32" i="2"/>
  <c r="BX32" i="2" s="1"/>
  <c r="BW32" i="2" s="1"/>
  <c r="BQ32" i="2"/>
  <c r="BT32" i="2" s="1"/>
  <c r="BS32" i="2" s="1"/>
  <c r="BG26" i="2"/>
  <c r="BG16" i="2"/>
  <c r="BG36" i="2"/>
  <c r="BF10" i="2"/>
  <c r="BF15" i="2"/>
  <c r="BT12" i="2"/>
  <c r="BS11" i="2"/>
  <c r="BK11" i="2"/>
  <c r="BC36" i="2"/>
  <c r="BM37" i="2"/>
  <c r="BP37" i="2" s="1"/>
  <c r="BO37" i="2" s="1"/>
  <c r="BH37" i="2"/>
  <c r="AZ37" i="2"/>
  <c r="BD37" i="2"/>
  <c r="BQ37" i="2"/>
  <c r="BT37" i="2" s="1"/>
  <c r="BS37" i="2" s="1"/>
  <c r="BU37" i="2"/>
  <c r="BX37" i="2" s="1"/>
  <c r="BW37" i="2" s="1"/>
  <c r="BB20" i="2"/>
  <c r="BK31" i="2"/>
  <c r="BF35" i="2"/>
  <c r="BD22" i="2"/>
  <c r="AZ22" i="2"/>
  <c r="BM22" i="2"/>
  <c r="BP22" i="2" s="1"/>
  <c r="BO22" i="2" s="1"/>
  <c r="BH22" i="2"/>
  <c r="BU22" i="2"/>
  <c r="BX22" i="2" s="1"/>
  <c r="BW22" i="2" s="1"/>
  <c r="BQ22" i="2"/>
  <c r="BT22" i="2" s="1"/>
  <c r="BS22" i="2" s="1"/>
  <c r="BC26" i="2"/>
  <c r="BF25" i="2"/>
  <c r="BJ35" i="2"/>
  <c r="BF20" i="2"/>
  <c r="BG11" i="2"/>
  <c r="BF30" i="2"/>
  <c r="BC16" i="2"/>
  <c r="BJ20" i="2"/>
  <c r="BB10" i="2"/>
  <c r="I35" i="2" l="1"/>
  <c r="J35" i="2"/>
  <c r="J34" i="2"/>
  <c r="I34" i="2"/>
  <c r="I14" i="2"/>
  <c r="J44" i="2"/>
  <c r="H46" i="2"/>
  <c r="CK6" i="2" s="1"/>
  <c r="I44" i="2"/>
  <c r="J36" i="2"/>
  <c r="I36" i="2"/>
  <c r="J28" i="2"/>
  <c r="I28" i="2"/>
  <c r="AZ5" i="2"/>
  <c r="AR20" i="2" s="1"/>
  <c r="I41" i="2"/>
  <c r="J41" i="2"/>
  <c r="I39" i="2"/>
  <c r="J39" i="2"/>
  <c r="I38" i="2"/>
  <c r="J38" i="2"/>
  <c r="I32" i="2"/>
  <c r="J32" i="2"/>
  <c r="J31" i="2"/>
  <c r="I31" i="2"/>
  <c r="J30" i="2"/>
  <c r="I30" i="2"/>
  <c r="J40" i="2"/>
  <c r="I40" i="2"/>
  <c r="H45" i="2"/>
  <c r="I27" i="2"/>
  <c r="J27" i="2"/>
  <c r="I29" i="2"/>
  <c r="J29" i="2"/>
  <c r="I33" i="2"/>
  <c r="J33" i="2"/>
  <c r="I43" i="2"/>
  <c r="J43" i="2"/>
  <c r="J42" i="2"/>
  <c r="I42" i="2"/>
  <c r="J37" i="2"/>
  <c r="I37" i="2"/>
  <c r="BB16" i="2"/>
  <c r="BG22" i="2"/>
  <c r="BK37" i="2"/>
  <c r="BG17" i="2"/>
  <c r="BG27" i="2"/>
  <c r="BJ21" i="2"/>
  <c r="BG12" i="2"/>
  <c r="BK22" i="2"/>
  <c r="BJ31" i="2"/>
  <c r="BJ11" i="2"/>
  <c r="BB11" i="2"/>
  <c r="BF11" i="2"/>
  <c r="BB26" i="2"/>
  <c r="BG37" i="2"/>
  <c r="BT11" i="2"/>
  <c r="BR11" i="2" s="1"/>
  <c r="BS10" i="2"/>
  <c r="BC32" i="2"/>
  <c r="BK17" i="2"/>
  <c r="BK27" i="2"/>
  <c r="BB31" i="2"/>
  <c r="BC12" i="2"/>
  <c r="BP12" i="2"/>
  <c r="BN12" i="2" s="1"/>
  <c r="BO11" i="2"/>
  <c r="BK32" i="2"/>
  <c r="BJ16" i="2"/>
  <c r="BB21" i="2"/>
  <c r="BJ36" i="2"/>
  <c r="BC22" i="2"/>
  <c r="BC37" i="2"/>
  <c r="BB36" i="2"/>
  <c r="BF36" i="2"/>
  <c r="BF16" i="2"/>
  <c r="BF26" i="2"/>
  <c r="BG32" i="2"/>
  <c r="BJ26" i="2"/>
  <c r="BF31" i="2"/>
  <c r="BC17" i="2"/>
  <c r="BC27" i="2"/>
  <c r="BR12" i="2"/>
  <c r="BK12" i="2"/>
  <c r="BF21" i="2"/>
  <c r="AW21" i="2" l="1"/>
  <c r="AR26" i="2"/>
  <c r="AO31" i="2"/>
  <c r="AP22" i="2"/>
  <c r="AN26" i="2"/>
  <c r="AV31" i="2"/>
  <c r="AV26" i="2"/>
  <c r="AR36" i="2"/>
  <c r="AN15" i="2"/>
  <c r="AS21" i="2"/>
  <c r="AN21" i="2"/>
  <c r="AN11" i="2"/>
  <c r="AP17" i="2"/>
  <c r="AV25" i="2"/>
  <c r="AT12" i="2"/>
  <c r="AR31" i="2"/>
  <c r="AR16" i="2"/>
  <c r="AN36" i="2"/>
  <c r="AV36" i="2"/>
  <c r="AV16" i="2"/>
  <c r="AL12" i="2"/>
  <c r="AR11" i="2"/>
  <c r="AV11" i="2"/>
  <c r="AP12" i="2"/>
  <c r="AP27" i="2"/>
  <c r="AT37" i="2"/>
  <c r="AO16" i="2"/>
  <c r="AV20" i="2"/>
  <c r="AV30" i="2"/>
  <c r="AR10" i="2"/>
  <c r="CL6" i="2"/>
  <c r="CH12" i="2"/>
  <c r="AR25" i="2"/>
  <c r="AV35" i="2"/>
  <c r="AL17" i="2"/>
  <c r="AW26" i="2"/>
  <c r="AS26" i="2"/>
  <c r="AS36" i="2"/>
  <c r="AL37" i="2"/>
  <c r="AL22" i="2"/>
  <c r="AO21" i="2"/>
  <c r="AT32" i="2"/>
  <c r="AT27" i="2"/>
  <c r="AL32" i="2"/>
  <c r="AO26" i="2"/>
  <c r="AO11" i="2"/>
  <c r="AW31" i="2"/>
  <c r="AN16" i="2"/>
  <c r="AV15" i="2"/>
  <c r="AN35" i="2"/>
  <c r="AR15" i="2"/>
  <c r="I45" i="2"/>
  <c r="AP38" i="2"/>
  <c r="AM38" i="2"/>
  <c r="AM33" i="2"/>
  <c r="AU29" i="2"/>
  <c r="AS23" i="2"/>
  <c r="AM21" i="2"/>
  <c r="AM10" i="2"/>
  <c r="AU23" i="2"/>
  <c r="AT38" i="2"/>
  <c r="AS33" i="2"/>
  <c r="AQ31" i="2"/>
  <c r="AT23" i="2"/>
  <c r="AL18" i="2"/>
  <c r="AU14" i="2"/>
  <c r="AV28" i="2"/>
  <c r="AP8" i="2"/>
  <c r="AM37" i="2"/>
  <c r="AQ28" i="2"/>
  <c r="AM18" i="2"/>
  <c r="AP28" i="2"/>
  <c r="AQ27" i="2"/>
  <c r="AQ26" i="2"/>
  <c r="AM11" i="2"/>
  <c r="AL13" i="2"/>
  <c r="AS38" i="2"/>
  <c r="AU30" i="2"/>
  <c r="AR23" i="2"/>
  <c r="AQ38" i="2"/>
  <c r="AU35" i="2"/>
  <c r="AU10" i="2"/>
  <c r="AU16" i="2"/>
  <c r="AQ13" i="2"/>
  <c r="AM20" i="2"/>
  <c r="AM22" i="2"/>
  <c r="AV13" i="2"/>
  <c r="AN23" i="2"/>
  <c r="AQ19" i="2"/>
  <c r="AU22" i="2"/>
  <c r="AQ14" i="2"/>
  <c r="AU12" i="2"/>
  <c r="AS28" i="2"/>
  <c r="AL28" i="2"/>
  <c r="AQ24" i="2"/>
  <c r="AT33" i="2"/>
  <c r="AR33" i="2"/>
  <c r="AU38" i="2"/>
  <c r="AV23" i="2"/>
  <c r="AQ10" i="2"/>
  <c r="AQ8" i="2"/>
  <c r="AM14" i="2"/>
  <c r="AP23" i="2"/>
  <c r="AW18" i="2"/>
  <c r="AU26" i="2"/>
  <c r="AQ33" i="2"/>
  <c r="AU34" i="2"/>
  <c r="AL19" i="2"/>
  <c r="AQ21" i="2"/>
  <c r="AN9" i="2"/>
  <c r="AT13" i="2"/>
  <c r="AW9" i="2"/>
  <c r="AU33" i="2"/>
  <c r="AM27" i="2"/>
  <c r="AR38" i="2"/>
  <c r="AM28" i="2"/>
  <c r="AV38" i="2"/>
  <c r="AN33" i="2"/>
  <c r="AW33" i="2"/>
  <c r="AW14" i="2"/>
  <c r="AO33" i="2"/>
  <c r="AS29" i="2"/>
  <c r="AQ36" i="2"/>
  <c r="AQ34" i="2"/>
  <c r="AV24" i="2"/>
  <c r="AM24" i="2"/>
  <c r="AQ23" i="2"/>
  <c r="AO18" i="2"/>
  <c r="AQ12" i="2"/>
  <c r="AM9" i="2"/>
  <c r="AW28" i="2"/>
  <c r="AQ18" i="2"/>
  <c r="AU28" i="2"/>
  <c r="AQ37" i="2"/>
  <c r="AR29" i="2"/>
  <c r="AM16" i="2"/>
  <c r="AN13" i="2"/>
  <c r="AM8" i="2"/>
  <c r="AU31" i="2"/>
  <c r="AU25" i="2"/>
  <c r="AM36" i="2"/>
  <c r="AM35" i="2"/>
  <c r="AN38" i="2"/>
  <c r="AV8" i="2"/>
  <c r="AN28" i="2"/>
  <c r="AU24" i="2"/>
  <c r="AU13" i="2"/>
  <c r="AU9" i="2"/>
  <c r="AP33" i="2"/>
  <c r="AU20" i="2"/>
  <c r="AQ30" i="2"/>
  <c r="AO38" i="2"/>
  <c r="AO8" i="2"/>
  <c r="AW8" i="2"/>
  <c r="AO23" i="2"/>
  <c r="AO9" i="2"/>
  <c r="AP24" i="2"/>
  <c r="AT29" i="2"/>
  <c r="AO14" i="2"/>
  <c r="AW24" i="2"/>
  <c r="AO34" i="2"/>
  <c r="AU21" i="2"/>
  <c r="AV34" i="2"/>
  <c r="AO13" i="2"/>
  <c r="AQ35" i="2"/>
  <c r="AR14" i="2"/>
  <c r="AM13" i="2"/>
  <c r="AT18" i="2"/>
  <c r="AQ16" i="2"/>
  <c r="AM15" i="2"/>
  <c r="AN18" i="2"/>
  <c r="AO28" i="2"/>
  <c r="AM32" i="2"/>
  <c r="AW38" i="2"/>
  <c r="AV14" i="2"/>
  <c r="AU27" i="2"/>
  <c r="AL23" i="2"/>
  <c r="AP13" i="2"/>
  <c r="AQ9" i="2"/>
  <c r="AM29" i="2"/>
  <c r="AU18" i="2"/>
  <c r="AM30" i="2"/>
  <c r="AU37" i="2"/>
  <c r="AL24" i="2"/>
  <c r="AM12" i="2"/>
  <c r="AV18" i="2"/>
  <c r="AT9" i="2"/>
  <c r="AP18" i="2"/>
  <c r="AU15" i="2"/>
  <c r="AU19" i="2"/>
  <c r="AQ29" i="2"/>
  <c r="AU32" i="2"/>
  <c r="AR13" i="2"/>
  <c r="AQ22" i="2"/>
  <c r="AM34" i="2"/>
  <c r="AU8" i="2"/>
  <c r="AT28" i="2"/>
  <c r="AM25" i="2"/>
  <c r="AU36" i="2"/>
  <c r="AT14" i="2"/>
  <c r="AW34" i="2"/>
  <c r="AP9" i="2"/>
  <c r="AL14" i="2"/>
  <c r="AL29" i="2"/>
  <c r="AW19" i="2"/>
  <c r="AV29" i="2"/>
  <c r="AT8" i="2"/>
  <c r="AR18" i="2"/>
  <c r="AN8" i="2"/>
  <c r="AQ17" i="2"/>
  <c r="AQ32" i="2"/>
  <c r="AU11" i="2"/>
  <c r="AM23" i="2"/>
  <c r="AR9" i="2"/>
  <c r="AL34" i="2"/>
  <c r="AT34" i="2"/>
  <c r="AP34" i="2"/>
  <c r="AT24" i="2"/>
  <c r="AT19" i="2"/>
  <c r="AV19" i="2"/>
  <c r="AM26" i="2"/>
  <c r="AL8" i="2"/>
  <c r="AQ25" i="2"/>
  <c r="AM19" i="2"/>
  <c r="AQ15" i="2"/>
  <c r="AL38" i="2"/>
  <c r="AV9" i="2"/>
  <c r="AR28" i="2"/>
  <c r="AV33" i="2"/>
  <c r="AS14" i="2"/>
  <c r="AS13" i="2"/>
  <c r="AW29" i="2"/>
  <c r="AL9" i="2"/>
  <c r="AP19" i="2"/>
  <c r="AS9" i="2"/>
  <c r="AQ20" i="2"/>
  <c r="AR8" i="2"/>
  <c r="AQ11" i="2"/>
  <c r="AL33" i="2"/>
  <c r="AU17" i="2"/>
  <c r="AS18" i="2"/>
  <c r="AN34" i="2"/>
  <c r="AM17" i="2"/>
  <c r="AM31" i="2"/>
  <c r="AW13" i="2"/>
  <c r="AP14" i="2"/>
  <c r="AS8" i="2"/>
  <c r="AP29" i="2"/>
  <c r="AS24" i="2"/>
  <c r="AW23" i="2"/>
  <c r="AR34" i="2"/>
  <c r="AR19" i="2"/>
  <c r="AS34" i="2"/>
  <c r="AL10" i="2"/>
  <c r="AT20" i="2"/>
  <c r="AL35" i="2"/>
  <c r="AO19" i="2"/>
  <c r="AT30" i="2"/>
  <c r="AP10" i="2"/>
  <c r="AL15" i="2"/>
  <c r="AT25" i="2"/>
  <c r="AN29" i="2"/>
  <c r="AL30" i="2"/>
  <c r="AP30" i="2"/>
  <c r="AT15" i="2"/>
  <c r="AT10" i="2"/>
  <c r="AR24" i="2"/>
  <c r="AN14" i="2"/>
  <c r="AS19" i="2"/>
  <c r="AP20" i="2"/>
  <c r="AT35" i="2"/>
  <c r="AP25" i="2"/>
  <c r="AO24" i="2"/>
  <c r="AP15" i="2"/>
  <c r="AL25" i="2"/>
  <c r="AL20" i="2"/>
  <c r="AO29" i="2"/>
  <c r="AP35" i="2"/>
  <c r="AW10" i="2"/>
  <c r="AL31" i="2"/>
  <c r="AP31" i="2"/>
  <c r="AL21" i="2"/>
  <c r="AL11" i="2"/>
  <c r="AT16" i="2"/>
  <c r="AS25" i="2"/>
  <c r="S8" i="2" s="1"/>
  <c r="CH8" i="2" s="1"/>
  <c r="AS20" i="2"/>
  <c r="AS30" i="2"/>
  <c r="AN24" i="2"/>
  <c r="AT21" i="2"/>
  <c r="AW15" i="2"/>
  <c r="AW25" i="2"/>
  <c r="AP26" i="2"/>
  <c r="AP36" i="2"/>
  <c r="AL36" i="2"/>
  <c r="AO20" i="2"/>
  <c r="AW20" i="2"/>
  <c r="AP21" i="2"/>
  <c r="AO15" i="2"/>
  <c r="AO30" i="2"/>
  <c r="AT36" i="2"/>
  <c r="AW30" i="2"/>
  <c r="AT26" i="2"/>
  <c r="AO35" i="2"/>
  <c r="AS35" i="2"/>
  <c r="AL26" i="2"/>
  <c r="AW35" i="2"/>
  <c r="AP11" i="2"/>
  <c r="AN19" i="2"/>
  <c r="AO25" i="2"/>
  <c r="AP16" i="2"/>
  <c r="AS10" i="2"/>
  <c r="AS15" i="2"/>
  <c r="AT11" i="2"/>
  <c r="AT31" i="2"/>
  <c r="AL16" i="2"/>
  <c r="AO10" i="2"/>
  <c r="AN10" i="2"/>
  <c r="AR30" i="2"/>
  <c r="AR21" i="2"/>
  <c r="AL27" i="2"/>
  <c r="AS31" i="2"/>
  <c r="AP32" i="2"/>
  <c r="AS16" i="2"/>
  <c r="AO36" i="2"/>
  <c r="AW36" i="2"/>
  <c r="AW16" i="2"/>
  <c r="AN31" i="2"/>
  <c r="AT17" i="2"/>
  <c r="AP37" i="2"/>
  <c r="AS11" i="2"/>
  <c r="AW11" i="2"/>
  <c r="AT22" i="2"/>
  <c r="AV21" i="2"/>
  <c r="AN20" i="2"/>
  <c r="H47" i="2"/>
  <c r="CJ6" i="2"/>
  <c r="AN30" i="2"/>
  <c r="AN25" i="2"/>
  <c r="AV10" i="2"/>
  <c r="AR35" i="2"/>
  <c r="BB17" i="2"/>
  <c r="AN17" i="2" s="1"/>
  <c r="AO17" i="2"/>
  <c r="BF32" i="2"/>
  <c r="AR32" i="2" s="1"/>
  <c r="AS32" i="2"/>
  <c r="BJ17" i="2"/>
  <c r="AV17" i="2" s="1"/>
  <c r="AW17" i="2"/>
  <c r="BJ22" i="2"/>
  <c r="AV22" i="2" s="1"/>
  <c r="AW22" i="2"/>
  <c r="BF22" i="2"/>
  <c r="AR22" i="2" s="1"/>
  <c r="AS22" i="2"/>
  <c r="BB27" i="2"/>
  <c r="AN27" i="2" s="1"/>
  <c r="AO27" i="2"/>
  <c r="BB37" i="2"/>
  <c r="AN37" i="2" s="1"/>
  <c r="AO37" i="2"/>
  <c r="BB22" i="2"/>
  <c r="AN22" i="2" s="1"/>
  <c r="AO22" i="2"/>
  <c r="BJ27" i="2"/>
  <c r="AV27" i="2" s="1"/>
  <c r="AW27" i="2"/>
  <c r="BB12" i="2"/>
  <c r="AN12" i="2" s="1"/>
  <c r="AO12" i="2"/>
  <c r="BB32" i="2"/>
  <c r="AN32" i="2" s="1"/>
  <c r="AO32" i="2"/>
  <c r="BT10" i="2"/>
  <c r="BR10" i="2" s="1"/>
  <c r="BS9" i="2"/>
  <c r="BP11" i="2"/>
  <c r="BN11" i="2" s="1"/>
  <c r="BO10" i="2"/>
  <c r="BF17" i="2"/>
  <c r="AR17" i="2" s="1"/>
  <c r="AS17" i="2"/>
  <c r="BJ12" i="2"/>
  <c r="AV12" i="2" s="1"/>
  <c r="AW12" i="2"/>
  <c r="BJ32" i="2"/>
  <c r="AV32" i="2" s="1"/>
  <c r="AW32" i="2"/>
  <c r="BF37" i="2"/>
  <c r="AR37" i="2" s="1"/>
  <c r="AS37" i="2"/>
  <c r="BF12" i="2"/>
  <c r="AR12" i="2" s="1"/>
  <c r="AS12" i="2"/>
  <c r="BF27" i="2"/>
  <c r="AR27" i="2" s="1"/>
  <c r="AS27" i="2"/>
  <c r="BJ37" i="2"/>
  <c r="AV37" i="2" s="1"/>
  <c r="AW37" i="2"/>
  <c r="X8" i="2" l="1"/>
  <c r="CH9" i="2" s="1"/>
  <c r="X10" i="2"/>
  <c r="CI9" i="2" s="1"/>
  <c r="S10" i="2"/>
  <c r="CI8" i="2" s="1"/>
  <c r="CH17" i="2"/>
  <c r="CG17" i="2" s="1"/>
  <c r="G21" i="2" s="1"/>
  <c r="CG12" i="2"/>
  <c r="CP6" i="2"/>
  <c r="CH16" i="2" s="1"/>
  <c r="CG16" i="2" s="1"/>
  <c r="G22" i="2" s="1"/>
  <c r="CO6" i="2"/>
  <c r="CH15" i="2" s="1"/>
  <c r="CG15" i="2" s="1"/>
  <c r="CH13" i="2"/>
  <c r="CM6" i="2"/>
  <c r="CN6" i="2" s="1"/>
  <c r="N10" i="2"/>
  <c r="AH5" i="2"/>
  <c r="BS8" i="2"/>
  <c r="BT8" i="2" s="1"/>
  <c r="BR8" i="2" s="1"/>
  <c r="BT9" i="2"/>
  <c r="BR9" i="2" s="1"/>
  <c r="BO9" i="2"/>
  <c r="BP10" i="2"/>
  <c r="BN10" i="2" s="1"/>
  <c r="M35" i="2" l="1"/>
  <c r="M38" i="2"/>
  <c r="M43" i="2"/>
  <c r="M41" i="2"/>
  <c r="K35" i="2"/>
  <c r="L35" i="2" s="1"/>
  <c r="K31" i="2"/>
  <c r="L31" i="2" s="1"/>
  <c r="M40" i="2"/>
  <c r="K33" i="2"/>
  <c r="L33" i="2" s="1"/>
  <c r="CI7" i="2"/>
  <c r="CI10" i="2" s="1"/>
  <c r="K40" i="2"/>
  <c r="L40" i="2" s="1"/>
  <c r="M29" i="2"/>
  <c r="K44" i="2"/>
  <c r="L44" i="2" s="1"/>
  <c r="K27" i="2"/>
  <c r="L27" i="2" s="1"/>
  <c r="M28" i="2"/>
  <c r="M44" i="2"/>
  <c r="M30" i="2"/>
  <c r="K38" i="2"/>
  <c r="L38" i="2" s="1"/>
  <c r="K34" i="2"/>
  <c r="L34" i="2" s="1"/>
  <c r="M37" i="2"/>
  <c r="K30" i="2"/>
  <c r="L30" i="2" s="1"/>
  <c r="M31" i="2"/>
  <c r="M27" i="2"/>
  <c r="K32" i="2"/>
  <c r="L32" i="2" s="1"/>
  <c r="K41" i="2"/>
  <c r="L41" i="2" s="1"/>
  <c r="N8" i="2"/>
  <c r="CH7" i="2" s="1"/>
  <c r="M39" i="2"/>
  <c r="K43" i="2"/>
  <c r="L43" i="2" s="1"/>
  <c r="K42" i="2"/>
  <c r="L42" i="2" s="1"/>
  <c r="M34" i="2"/>
  <c r="K28" i="2"/>
  <c r="L28" i="2" s="1"/>
  <c r="K36" i="2"/>
  <c r="L36" i="2" s="1"/>
  <c r="K29" i="2"/>
  <c r="L29" i="2" s="1"/>
  <c r="K39" i="2"/>
  <c r="L39" i="2" s="1"/>
  <c r="M36" i="2"/>
  <c r="M42" i="2"/>
  <c r="M32" i="2"/>
  <c r="K37" i="2"/>
  <c r="L37" i="2" s="1"/>
  <c r="M33" i="2"/>
  <c r="CG13" i="2"/>
  <c r="CH14" i="2"/>
  <c r="CG14" i="2" s="1"/>
  <c r="G20" i="2" s="1"/>
  <c r="BP9" i="2"/>
  <c r="BN9" i="2" s="1"/>
  <c r="BO8" i="2"/>
  <c r="BP8" i="2" s="1"/>
  <c r="BN8" i="2" s="1"/>
  <c r="O42" i="2" l="1"/>
  <c r="N42" i="2"/>
  <c r="O37" i="2"/>
  <c r="N37" i="2"/>
  <c r="O34" i="2"/>
  <c r="N34" i="2"/>
  <c r="CH10" i="2"/>
  <c r="O31" i="2"/>
  <c r="N31" i="2"/>
  <c r="O35" i="2"/>
  <c r="N35" i="2"/>
  <c r="O32" i="2"/>
  <c r="N32" i="2"/>
  <c r="N30" i="2"/>
  <c r="O30" i="2"/>
  <c r="O41" i="2"/>
  <c r="N41" i="2"/>
  <c r="N44" i="2"/>
  <c r="N14" i="2"/>
  <c r="O44" i="2"/>
  <c r="M46" i="2"/>
  <c r="CK7" i="2" s="1"/>
  <c r="CJ12" i="2" s="1"/>
  <c r="O29" i="2"/>
  <c r="N29" i="2"/>
  <c r="O40" i="2"/>
  <c r="N40" i="2"/>
  <c r="O43" i="2"/>
  <c r="N43" i="2"/>
  <c r="O33" i="2"/>
  <c r="N33" i="2"/>
  <c r="N36" i="2"/>
  <c r="O36" i="2"/>
  <c r="O39" i="2"/>
  <c r="N39" i="2"/>
  <c r="O27" i="2"/>
  <c r="N27" i="2"/>
  <c r="M45" i="2"/>
  <c r="O28" i="2"/>
  <c r="N28" i="2"/>
  <c r="N38" i="2"/>
  <c r="O38" i="2"/>
  <c r="CL7" i="2" l="1"/>
  <c r="P27" i="2"/>
  <c r="Q27" i="2" s="1"/>
  <c r="R27" i="2"/>
  <c r="P43" i="2"/>
  <c r="Q43" i="2" s="1"/>
  <c r="R43" i="2"/>
  <c r="R29" i="2"/>
  <c r="P29" i="2"/>
  <c r="Q29" i="2" s="1"/>
  <c r="R28" i="2"/>
  <c r="P28" i="2"/>
  <c r="Q28" i="2" s="1"/>
  <c r="CJ17" i="2"/>
  <c r="CI17" i="2" s="1"/>
  <c r="L21" i="2" s="1"/>
  <c r="CI12" i="2"/>
  <c r="P35" i="2"/>
  <c r="Q35" i="2" s="1"/>
  <c r="R35" i="2"/>
  <c r="P37" i="2"/>
  <c r="Q37" i="2" s="1"/>
  <c r="R37" i="2"/>
  <c r="P38" i="2"/>
  <c r="Q38" i="2" s="1"/>
  <c r="R38" i="2"/>
  <c r="M47" i="2"/>
  <c r="CJ7" i="2"/>
  <c r="R39" i="2"/>
  <c r="P39" i="2"/>
  <c r="Q39" i="2" s="1"/>
  <c r="P33" i="2"/>
  <c r="Q33" i="2" s="1"/>
  <c r="R33" i="2"/>
  <c r="R40" i="2"/>
  <c r="P40" i="2"/>
  <c r="Q40" i="2" s="1"/>
  <c r="P44" i="2"/>
  <c r="Q44" i="2" s="1"/>
  <c r="R44" i="2"/>
  <c r="R41" i="2"/>
  <c r="P41" i="2"/>
  <c r="Q41" i="2" s="1"/>
  <c r="P32" i="2"/>
  <c r="Q32" i="2" s="1"/>
  <c r="R32" i="2"/>
  <c r="N45" i="2"/>
  <c r="R36" i="2"/>
  <c r="P36" i="2"/>
  <c r="Q36" i="2" s="1"/>
  <c r="P30" i="2"/>
  <c r="Q30" i="2" s="1"/>
  <c r="R30" i="2"/>
  <c r="R31" i="2"/>
  <c r="P31" i="2"/>
  <c r="Q31" i="2" s="1"/>
  <c r="P34" i="2"/>
  <c r="Q34" i="2" s="1"/>
  <c r="R34" i="2"/>
  <c r="P42" i="2"/>
  <c r="Q42" i="2" s="1"/>
  <c r="R42" i="2"/>
  <c r="S14" i="2" l="1"/>
  <c r="T44" i="2"/>
  <c r="R46" i="2"/>
  <c r="CK8" i="2" s="1"/>
  <c r="S44" i="2"/>
  <c r="S37" i="2"/>
  <c r="T37" i="2"/>
  <c r="S31" i="2"/>
  <c r="T31" i="2"/>
  <c r="S36" i="2"/>
  <c r="T36" i="2"/>
  <c r="T38" i="2"/>
  <c r="S38" i="2"/>
  <c r="S35" i="2"/>
  <c r="T35" i="2"/>
  <c r="S29" i="2"/>
  <c r="T29" i="2"/>
  <c r="S34" i="2"/>
  <c r="T34" i="2"/>
  <c r="S30" i="2"/>
  <c r="T30" i="2"/>
  <c r="CP7" i="2"/>
  <c r="CJ16" i="2" s="1"/>
  <c r="CI16" i="2" s="1"/>
  <c r="L22" i="2" s="1"/>
  <c r="CO7" i="2"/>
  <c r="CJ15" i="2" s="1"/>
  <c r="CI15" i="2" s="1"/>
  <c r="S41" i="2"/>
  <c r="T41" i="2"/>
  <c r="S40" i="2"/>
  <c r="T40" i="2"/>
  <c r="S39" i="2"/>
  <c r="T39" i="2"/>
  <c r="T43" i="2"/>
  <c r="S43" i="2"/>
  <c r="S32" i="2"/>
  <c r="T32" i="2"/>
  <c r="S33" i="2"/>
  <c r="T33" i="2"/>
  <c r="CM7" i="2"/>
  <c r="CN7" i="2" s="1"/>
  <c r="CJ13" i="2"/>
  <c r="S28" i="2"/>
  <c r="T28" i="2"/>
  <c r="S42" i="2"/>
  <c r="T42" i="2"/>
  <c r="T27" i="2"/>
  <c r="R45" i="2"/>
  <c r="S27" i="2"/>
  <c r="W42" i="2" l="1"/>
  <c r="U42" i="2"/>
  <c r="V42" i="2" s="1"/>
  <c r="CI13" i="2"/>
  <c r="CJ14" i="2"/>
  <c r="CI14" i="2" s="1"/>
  <c r="L20" i="2" s="1"/>
  <c r="W32" i="2"/>
  <c r="U32" i="2"/>
  <c r="V32" i="2" s="1"/>
  <c r="U39" i="2"/>
  <c r="V39" i="2" s="1"/>
  <c r="W39" i="2"/>
  <c r="U41" i="2"/>
  <c r="V41" i="2" s="1"/>
  <c r="W41" i="2"/>
  <c r="W30" i="2"/>
  <c r="U30" i="2"/>
  <c r="V30" i="2" s="1"/>
  <c r="U29" i="2"/>
  <c r="V29" i="2" s="1"/>
  <c r="W29" i="2"/>
  <c r="U31" i="2"/>
  <c r="V31" i="2" s="1"/>
  <c r="W31" i="2"/>
  <c r="S45" i="2"/>
  <c r="W38" i="2"/>
  <c r="U38" i="2"/>
  <c r="V38" i="2" s="1"/>
  <c r="CL12" i="2"/>
  <c r="CL8" i="2"/>
  <c r="R47" i="2"/>
  <c r="CJ8" i="2"/>
  <c r="U28" i="2"/>
  <c r="V28" i="2" s="1"/>
  <c r="W28" i="2"/>
  <c r="U33" i="2"/>
  <c r="V33" i="2" s="1"/>
  <c r="W33" i="2"/>
  <c r="W40" i="2"/>
  <c r="U40" i="2"/>
  <c r="V40" i="2" s="1"/>
  <c r="U34" i="2"/>
  <c r="V34" i="2" s="1"/>
  <c r="W34" i="2"/>
  <c r="U35" i="2"/>
  <c r="V35" i="2" s="1"/>
  <c r="W35" i="2"/>
  <c r="U36" i="2"/>
  <c r="V36" i="2" s="1"/>
  <c r="W36" i="2"/>
  <c r="W37" i="2"/>
  <c r="U37" i="2"/>
  <c r="V37" i="2" s="1"/>
  <c r="U44" i="2"/>
  <c r="V44" i="2" s="1"/>
  <c r="W44" i="2"/>
  <c r="U27" i="2"/>
  <c r="V27" i="2" s="1"/>
  <c r="W27" i="2"/>
  <c r="U43" i="2"/>
  <c r="V43" i="2" s="1"/>
  <c r="W43" i="2"/>
  <c r="X30" i="2" l="1"/>
  <c r="Y30" i="2"/>
  <c r="X37" i="2"/>
  <c r="Y37" i="2"/>
  <c r="X40" i="2"/>
  <c r="Y40" i="2"/>
  <c r="CP8" i="2"/>
  <c r="CO8" i="2"/>
  <c r="Y32" i="2"/>
  <c r="X32" i="2"/>
  <c r="Y42" i="2"/>
  <c r="X42" i="2"/>
  <c r="X43" i="2"/>
  <c r="Y43" i="2"/>
  <c r="Y44" i="2"/>
  <c r="X44" i="2"/>
  <c r="W46" i="2"/>
  <c r="CK9" i="2" s="1"/>
  <c r="X14" i="2"/>
  <c r="Y36" i="2"/>
  <c r="X36" i="2"/>
  <c r="X34" i="2"/>
  <c r="Y34" i="2"/>
  <c r="Y33" i="2"/>
  <c r="X33" i="2"/>
  <c r="CM8" i="2"/>
  <c r="CL13" i="2"/>
  <c r="CL17" i="2"/>
  <c r="CK17" i="2" s="1"/>
  <c r="Q21" i="2" s="1"/>
  <c r="CK12" i="2"/>
  <c r="X31" i="2"/>
  <c r="Y31" i="2"/>
  <c r="Y39" i="2"/>
  <c r="X39" i="2"/>
  <c r="W45" i="2"/>
  <c r="X27" i="2"/>
  <c r="Y27" i="2"/>
  <c r="X35" i="2"/>
  <c r="Y35" i="2"/>
  <c r="X28" i="2"/>
  <c r="Y28" i="2"/>
  <c r="X38" i="2"/>
  <c r="Y38" i="2"/>
  <c r="X29" i="2"/>
  <c r="Y29" i="2"/>
  <c r="X41" i="2"/>
  <c r="Y41" i="2"/>
  <c r="X45" i="2" l="1"/>
  <c r="CL15" i="2"/>
  <c r="W47" i="2"/>
  <c r="CJ9" i="2"/>
  <c r="CL16" i="2"/>
  <c r="CK16" i="2" s="1"/>
  <c r="Q22" i="2" s="1"/>
  <c r="CL14" i="2"/>
  <c r="CK13" i="2"/>
  <c r="CN8" i="2"/>
  <c r="CN12" i="2"/>
  <c r="CL9" i="2"/>
  <c r="CK10" i="2"/>
  <c r="CL10" i="2" s="1"/>
  <c r="CP17" i="2" s="1"/>
  <c r="CO17" i="2" s="1"/>
  <c r="C21" i="2" s="1"/>
  <c r="CK15" i="2" l="1"/>
  <c r="CN17" i="2"/>
  <c r="CM17" i="2" s="1"/>
  <c r="V21" i="2" s="1"/>
  <c r="CM12" i="2"/>
  <c r="CP12" i="2"/>
  <c r="CO12" i="2" s="1"/>
  <c r="C18" i="2" s="1"/>
  <c r="CM9" i="2"/>
  <c r="CN13" i="2"/>
  <c r="CN14" i="2" s="1"/>
  <c r="CJ10" i="2"/>
  <c r="CP9" i="2"/>
  <c r="CO9" i="2"/>
  <c r="CK14" i="2"/>
  <c r="Q20" i="2" s="1"/>
  <c r="CM14" i="2" l="1"/>
  <c r="V20" i="2" s="1"/>
  <c r="CP14" i="2"/>
  <c r="CO14" i="2" s="1"/>
  <c r="C20" i="2" s="1"/>
  <c r="CM13" i="2"/>
  <c r="CP13" i="2"/>
  <c r="CO13" i="2" s="1"/>
  <c r="C19" i="2" s="1"/>
  <c r="CN15" i="2"/>
  <c r="CO10" i="2"/>
  <c r="CN9" i="2"/>
  <c r="CM10" i="2"/>
  <c r="CN10" i="2" s="1"/>
  <c r="CN16" i="2"/>
  <c r="CM16" i="2" s="1"/>
  <c r="V22" i="2" s="1"/>
  <c r="CP10" i="2"/>
  <c r="CP16" i="2" s="1"/>
  <c r="CO16" i="2" s="1"/>
  <c r="C22" i="2" s="1"/>
  <c r="CM15" i="2" l="1"/>
  <c r="CP15" i="2"/>
  <c r="CO15" i="2" s="1"/>
</calcChain>
</file>

<file path=xl/sharedStrings.xml><?xml version="1.0" encoding="utf-8"?>
<sst xmlns="http://schemas.openxmlformats.org/spreadsheetml/2006/main" count="342" uniqueCount="209">
  <si>
    <t xml:space="preserve"> ENGINE SOURCE DATA</t>
  </si>
  <si>
    <t xml:space="preserve"> ENGINE LLP SOURCE DATA</t>
  </si>
  <si>
    <t>ENGINE SEVERITY / LABOR / DERATE FACTORS</t>
  </si>
  <si>
    <t>Engine</t>
  </si>
  <si>
    <t xml:space="preserve">Base </t>
  </si>
  <si>
    <t>First-Run</t>
  </si>
  <si>
    <t>Mature-Run</t>
  </si>
  <si>
    <t>LLP LIMITS &amp; COST</t>
  </si>
  <si>
    <t>Flight</t>
  </si>
  <si>
    <t>Low Thrust Factors</t>
  </si>
  <si>
    <t>High Thrust Factors</t>
  </si>
  <si>
    <t>Operational Factors</t>
  </si>
  <si>
    <t>7B20</t>
  </si>
  <si>
    <t>7B24</t>
  </si>
  <si>
    <t>High</t>
  </si>
  <si>
    <t>Rating</t>
  </si>
  <si>
    <t>Family</t>
  </si>
  <si>
    <t>Thrust</t>
  </si>
  <si>
    <t>FL</t>
  </si>
  <si>
    <t>FC</t>
  </si>
  <si>
    <t>Rest $</t>
  </si>
  <si>
    <t>$ / FH</t>
  </si>
  <si>
    <t>$/FH</t>
  </si>
  <si>
    <t>Module</t>
  </si>
  <si>
    <t>Part</t>
  </si>
  <si>
    <t>Limit</t>
  </si>
  <si>
    <t>Cost $</t>
  </si>
  <si>
    <t>Leg</t>
  </si>
  <si>
    <t>FR Sev</t>
  </si>
  <si>
    <t>FR T&amp;M</t>
  </si>
  <si>
    <t>MR Sev</t>
  </si>
  <si>
    <t>MR T&amp;M</t>
  </si>
  <si>
    <t>Region</t>
  </si>
  <si>
    <t>Factor</t>
  </si>
  <si>
    <t>Derate</t>
  </si>
  <si>
    <t>Fan</t>
  </si>
  <si>
    <t>LLP 1</t>
  </si>
  <si>
    <t>Temperate</t>
  </si>
  <si>
    <t>LLP 2</t>
  </si>
  <si>
    <t>Erosive</t>
  </si>
  <si>
    <t>LLP 3</t>
  </si>
  <si>
    <t>Hot/Harsh</t>
  </si>
  <si>
    <t>HPC</t>
  </si>
  <si>
    <t>LLP 4</t>
  </si>
  <si>
    <t>LLP 5</t>
  </si>
  <si>
    <t>LLP 6</t>
  </si>
  <si>
    <t>CFM56-7B</t>
  </si>
  <si>
    <t>LLP 7</t>
  </si>
  <si>
    <t>LLP 8</t>
  </si>
  <si>
    <t>HPT</t>
  </si>
  <si>
    <t>LLP 9</t>
  </si>
  <si>
    <t>LLP 10</t>
  </si>
  <si>
    <t>LLP 11</t>
  </si>
  <si>
    <t>LLP 12</t>
  </si>
  <si>
    <t>LPT</t>
  </si>
  <si>
    <t>LLP 13</t>
  </si>
  <si>
    <t>LLP 14</t>
  </si>
  <si>
    <t>LLP 15</t>
  </si>
  <si>
    <t>LLP 16</t>
  </si>
  <si>
    <t>LLP 17</t>
  </si>
  <si>
    <t>LLP 18</t>
  </si>
  <si>
    <t/>
  </si>
  <si>
    <t>ENGINE SHOP VISIT - COST FORECASTER</t>
  </si>
  <si>
    <t>Lbs</t>
  </si>
  <si>
    <t>Summary :</t>
  </si>
  <si>
    <t>FH</t>
  </si>
  <si>
    <t>LLP $</t>
  </si>
  <si>
    <t>PR $</t>
  </si>
  <si>
    <t>PR - $/FH</t>
  </si>
  <si>
    <t>SV $</t>
  </si>
  <si>
    <t>SV - $/FH</t>
  </si>
  <si>
    <t>LLP Stub Loss $</t>
  </si>
  <si>
    <t>LLP Stub Loss %</t>
  </si>
  <si>
    <t xml:space="preserve">    ENIGNE SHOP VISIT FORECASTER</t>
  </si>
  <si>
    <t>------------------------------ SHOP VISIT 1  ------------------------------</t>
  </si>
  <si>
    <t>------------------------------ SHOP VISIT 2  ------------------------------</t>
  </si>
  <si>
    <t>------------------------------ SHOP VISIT 3  ------------------------------</t>
  </si>
  <si>
    <t>------------------------------ SHOP VISIT 4  ------------------------------</t>
  </si>
  <si>
    <t>Severity Factors</t>
  </si>
  <si>
    <t>Shop Visit 1</t>
  </si>
  <si>
    <t>Shop Visit 2</t>
  </si>
  <si>
    <t>Shop Visit 3</t>
  </si>
  <si>
    <t>Shop Visit 4</t>
  </si>
  <si>
    <t>Build Goal</t>
  </si>
  <si>
    <t>Derate Factor :</t>
  </si>
  <si>
    <t>SV 1 $ :</t>
  </si>
  <si>
    <t>FIRST-RUN</t>
  </si>
  <si>
    <t>MATURE-RUN</t>
  </si>
  <si>
    <t>FR Lbr</t>
  </si>
  <si>
    <t>MR Lbr</t>
  </si>
  <si>
    <t>List</t>
  </si>
  <si>
    <t>Region Factor :</t>
  </si>
  <si>
    <t>SV 2 $ :</t>
  </si>
  <si>
    <t xml:space="preserve">   RATING (lb)</t>
  </si>
  <si>
    <t xml:space="preserve">TIME ON-WING (FH) </t>
  </si>
  <si>
    <t>Composite Factor :</t>
  </si>
  <si>
    <t>SV 3 $ :</t>
  </si>
  <si>
    <t>SV 4 $ :</t>
  </si>
  <si>
    <t xml:space="preserve">   FLIGHT LEG</t>
  </si>
  <si>
    <t xml:space="preserve">TIME ON-WING (FC) </t>
  </si>
  <si>
    <t>Rating Check</t>
  </si>
  <si>
    <t>SV1 - SV4 :</t>
  </si>
  <si>
    <t>SV1</t>
  </si>
  <si>
    <t>SV2</t>
  </si>
  <si>
    <t>SV3</t>
  </si>
  <si>
    <t>SV4</t>
  </si>
  <si>
    <t xml:space="preserve">   DERATE</t>
  </si>
  <si>
    <t>BUILD GOAL (FC)</t>
  </si>
  <si>
    <t xml:space="preserve">   REGION</t>
  </si>
  <si>
    <t>WORKSCOPE LEVEL</t>
  </si>
  <si>
    <t xml:space="preserve">  SUMMARY DATA</t>
  </si>
  <si>
    <t>SUMMARY</t>
  </si>
  <si>
    <t>-7B27/E</t>
  </si>
  <si>
    <t xml:space="preserve"> LLP</t>
  </si>
  <si>
    <t>LLP</t>
  </si>
  <si>
    <t>----------------- SHOP VISIT 1 PREDICTED COSTS ----------------</t>
  </si>
  <si>
    <t>----------------- SHOP VISIT 2 PREDICTED COSTS -----------------</t>
  </si>
  <si>
    <t>----------------- SHOP VISIT 3 PREDICTED COSTS -----------------</t>
  </si>
  <si>
    <t>----------------- SHOP VISIT 4 PREDICTED COSTS -----------------</t>
  </si>
  <si>
    <t xml:space="preserve"> ITEM</t>
  </si>
  <si>
    <t>COST $</t>
  </si>
  <si>
    <t>LIMIT</t>
  </si>
  <si>
    <t>FC IN</t>
  </si>
  <si>
    <t>REPLACED</t>
  </si>
  <si>
    <t>STUB $</t>
  </si>
  <si>
    <t>FC OUT</t>
  </si>
  <si>
    <t xml:space="preserve"> FAN</t>
  </si>
  <si>
    <t xml:space="preserve"> HPC</t>
  </si>
  <si>
    <t xml:space="preserve"> HPT</t>
  </si>
  <si>
    <t xml:space="preserve"> LLP 9</t>
  </si>
  <si>
    <t xml:space="preserve"> LPT</t>
  </si>
  <si>
    <t xml:space="preserve"> LLP $ :</t>
  </si>
  <si>
    <t xml:space="preserve"> PR $ :</t>
  </si>
  <si>
    <t xml:space="preserve"> SV $ :</t>
  </si>
  <si>
    <t>NOTES &amp; DEFINITIONS</t>
  </si>
  <si>
    <t xml:space="preserve">          EXAMPLE ENGINE MODULE BREAKDOWN</t>
  </si>
  <si>
    <t>"Performance Restoration" means, at a minimum, the accomplishment of a performance level workscope on the High Pressure Compressor (HPC),</t>
  </si>
  <si>
    <t>Combusror, and High Pressure Turbine (HPT).  A qualifying performance level workscope seeks to :</t>
  </si>
  <si>
    <t>a.) Obtain the maximum time between shop visits with resultant lower cost per Engine Flight Hourand the greatest potential for regaining EGT margin, &amp;</t>
  </si>
  <si>
    <t>b.) To plan the LLP stub-life such that engines are removed for LLP at Cycles Since Shop Visits that are consistent with recommended engine build goals.</t>
  </si>
  <si>
    <t xml:space="preserve">"Engine Modules" means any of the six major modules, namely: 1.) High Pressure Compressor ("HPC"), 2.) High Pressure Turbine ("HPT"), 3.) Combustor, </t>
  </si>
  <si>
    <t xml:space="preserve">4.) Fan Booster, 5.) Low Pressure Turbine ("LPT"), and 6.) Gearbox </t>
  </si>
  <si>
    <t xml:space="preserve">“First-Run” with respect to an Engine shall refer to the period from new manufacture of the Engine until completion of the first accomplishment of a </t>
  </si>
  <si>
    <t>Performance Restoration on such Engine since new manufacture.</t>
  </si>
  <si>
    <t>“Mature Run” with respect to an Engine shall refer to the period after completion of the first accomplishment of a Performance Restoration</t>
  </si>
  <si>
    <t xml:space="preserve">"Stub-life" is used to represent the engines shortest life remaining of all LLPs installed in a specific engine.  </t>
  </si>
  <si>
    <t>Most repair shops will assess the life remaining on LLPs when an engine is inducted for maintenance and will manage time limited components to coincide with subsequent shop visits.  Ideally, the repair shop will ensure that LLP stub-lives closely</t>
  </si>
  <si>
    <t xml:space="preserve">match the expected time on-wing from EGT margin erosion.  So, for example, if an engine’s LLP stub-life is 10,000 FC then the repair center will ensure that the engine has sufficient EGT margin to stay on-wing for 10,000 FC.  The 10,000 FC would then </t>
  </si>
  <si>
    <t>be called the engine build standard, or build goal..</t>
  </si>
  <si>
    <t>DISCLAIMER</t>
  </si>
  <si>
    <t>The information contained in this tool is inteded to be used as a learning  guide for estimating  engine shop visit costs.  The information does not imply or infer any guarantee, and in using this tool the user agrees the author shall bear no legal liability.</t>
  </si>
  <si>
    <t>ENGINE SHOP VISIT TUTORIAL</t>
  </si>
  <si>
    <t xml:space="preserve">    FACTORS INFLUENCING ENGINE COSTS &amp; TIME ON-WING</t>
  </si>
  <si>
    <t xml:space="preserve">    An engine will occasion several shop visits during its life, however the rate of visits will depend on various operational parameters consisting of: </t>
  </si>
  <si>
    <r>
      <t xml:space="preserve">    1.) </t>
    </r>
    <r>
      <rPr>
        <b/>
        <sz val="9"/>
        <color theme="1" tint="0.34998626667073579"/>
        <rFont val="Calibri"/>
        <family val="2"/>
        <scheme val="minor"/>
      </rPr>
      <t>Thrust Rating</t>
    </r>
    <r>
      <rPr>
        <sz val="9"/>
        <color theme="1" tint="0.34998626667073579"/>
        <rFont val="Calibri"/>
        <family val="2"/>
        <scheme val="minor"/>
      </rPr>
      <t xml:space="preserve"> : For a given engine model, EGT margin deteriorates faster when operating at higher thrust levels – Figure 1. Higher thrust generates higher core temperatures, which </t>
    </r>
  </si>
  <si>
    <t xml:space="preserve">          exposes constituent parts in the engine to greater thermal stress.  Reducing thrust will: a.) Slow EGT deterioration, b.) Reduces fuel-flow and c.) Lower maintenance costs </t>
  </si>
  <si>
    <t xml:space="preserve">          by increasing time between shop visits.    </t>
  </si>
  <si>
    <t>Figure 1   Engine Thrust Rating versus Time On-Wing</t>
  </si>
  <si>
    <r>
      <t xml:space="preserve">    2.) </t>
    </r>
    <r>
      <rPr>
        <b/>
        <sz val="9"/>
        <color theme="1" tint="0.34998626667073579"/>
        <rFont val="Calibri"/>
        <family val="2"/>
        <scheme val="minor"/>
      </rPr>
      <t>Operational Severity</t>
    </r>
    <r>
      <rPr>
        <sz val="9"/>
        <color theme="1" tint="0.34998626667073579"/>
        <rFont val="Calibri"/>
        <family val="2"/>
        <scheme val="minor"/>
      </rPr>
      <t xml:space="preserve"> - An engine’s DMC is heavily influenced by the severity of the operating environment it is exposed to.  More demanding operating conditions will impose greater</t>
    </r>
  </si>
  <si>
    <t xml:space="preserve">         stress on engine parts and components.  Operating severity comprises an aircraft's : a.) Flight length (flight leg), b.) Take-off derate, and c.) Operating severity / ambient temperatures.</t>
  </si>
  <si>
    <t xml:space="preserve">         </t>
  </si>
  <si>
    <t>Figure 2 -  Effects of Engine Flight Length</t>
  </si>
  <si>
    <t>Flight Length</t>
  </si>
  <si>
    <t>As the flight length reduces an engine spends a larger proportion of total flight time using</t>
  </si>
  <si>
    <t>take-off and climb power settings.  In most instances the effect of shorter stage length</t>
  </si>
  <si>
    <t>operation is more rapid performance deterioration leading to greater direct</t>
  </si>
  <si>
    <t>maintenance cost per flight hour - Figure 2.0.  Conversely, longer sector lengths will lead to</t>
  </si>
  <si>
    <t>less wear and tear and an increase in the on-wing time of an engine.</t>
  </si>
  <si>
    <t>Figure 3 -  Effects of Engine Take-off Derate</t>
  </si>
  <si>
    <t>Engine Take-off Derate</t>
  </si>
  <si>
    <t xml:space="preserve">Take-off derate thrust is a takeoff thrust setting that is below the maximum thrust level.  </t>
  </si>
  <si>
    <t>A larger derate translates into lower take-off EGT and therefore enjoys a lower engine</t>
  </si>
  <si>
    <t xml:space="preserve">deterioration rate, longer on-wing life, and reduced cost per flight hour.   Figure 3 </t>
  </si>
  <si>
    <t>illustrates engine derate and its effect on direct maintenance cost.</t>
  </si>
  <si>
    <t>Figure 4 -  Effects of Environment</t>
  </si>
  <si>
    <t>Engines operated in dusty, sandy and erosive-corrosive are exposed to higher blade</t>
  </si>
  <si>
    <t>distress environments - Figure 4 - and thus and thus greater performance deterioration</t>
  </si>
  <si>
    <t>Particulate material due to air pollution, such as dust, sand or industry emissions can</t>
  </si>
  <si>
    <t xml:space="preserve">erode HPC blades and block HPT vane/blade cooling holes.  Other environmental distress </t>
  </si>
  <si>
    <t>symptoms consist of hardware corrosion and oxidation.  For engines operating in hot/dry</t>
  </si>
  <si>
    <t>&amp; erosive environments, EGT margin erosion rates are likely to be greater.</t>
  </si>
  <si>
    <t xml:space="preserve">Turbofan engines are normally flat rated to ambient air temperatures around International </t>
  </si>
  <si>
    <t>Standard Atmosphere (ISA) + 15°C, which is equivalent to 30°C at sea level conditions.   The</t>
  </si>
  <si>
    <t>turbine entry temperature at max take-off and max climb rating increase as ambient air</t>
  </si>
  <si>
    <t xml:space="preserve">      Colors highlight severity and rate of occurrence  of distress</t>
  </si>
  <si>
    <t>temp increases, up to their limit value.  Therefore, an engine exposed to high ambient</t>
  </si>
  <si>
    <r>
      <t xml:space="preserve">      Temperate -</t>
    </r>
    <r>
      <rPr>
        <sz val="8"/>
        <color rgb="FF333333"/>
        <rFont val="Calibri"/>
        <family val="2"/>
        <scheme val="minor"/>
      </rPr>
      <t xml:space="preserve"> green &amp; brown / Erosive - blue &amp; yellow / Hot &amp; Harsh  - red</t>
    </r>
  </si>
  <si>
    <t xml:space="preserve">temp will experience lower available EGT margin and greater performance degradation. </t>
  </si>
  <si>
    <t xml:space="preserve">      </t>
  </si>
  <si>
    <r>
      <t xml:space="preserve">    </t>
    </r>
    <r>
      <rPr>
        <b/>
        <sz val="10"/>
        <color theme="1" tint="0.34998626667073579"/>
        <rFont val="Calibri"/>
        <family val="2"/>
        <scheme val="minor"/>
      </rPr>
      <t>3.) Engine Age</t>
    </r>
    <r>
      <rPr>
        <sz val="10"/>
        <color theme="1" tint="0.34998626667073579"/>
        <rFont val="Calibri"/>
        <family val="2"/>
        <scheme val="minor"/>
      </rPr>
      <t xml:space="preserve"> - Older engines generally cost more to maintain than newer engines.  As an engine ages its average time to shop visit lessens - Figure 5.  First-run engines will last</t>
    </r>
  </si>
  <si>
    <t xml:space="preserve">         considerably longer on-wing than mature engines.  In fact, it is not uncommon to see first-run engines remaining on-wing 20%-30% longer than mature-run engines.  As the</t>
  </si>
  <si>
    <t xml:space="preserve">        engine ages a disproportionate amount of parts experience higher deterioration rates, higher scrap rates, and correspondingly higher engine maintenance cost.</t>
  </si>
  <si>
    <t>Figure 5 -  Effects of Age</t>
  </si>
  <si>
    <r>
      <rPr>
        <b/>
        <sz val="10"/>
        <color theme="0" tint="-0.499984740745262"/>
        <rFont val="Calibri"/>
        <family val="2"/>
        <scheme val="minor"/>
      </rPr>
      <t xml:space="preserve">    4.) Workscope Planning</t>
    </r>
    <r>
      <rPr>
        <sz val="10"/>
        <color theme="0" tint="-0.499984740745262"/>
        <rFont val="Calibri"/>
        <family val="2"/>
        <scheme val="minor"/>
      </rPr>
      <t xml:space="preserve"> - an engine’s Workscope Planning Guide (WPG) is a maintenance planning guide published by each engine manufacturer that details the suggested</t>
    </r>
  </si>
  <si>
    <t xml:space="preserve">          level of required maintenance on each module as well as a list of recommended Service Bulletins.  Engine manufacturers generally specify three levels of workscopes</t>
  </si>
  <si>
    <t xml:space="preserve">          consisting of: 1.) Minimum Level, 2.) Performance Level, and 3.) Full Overhaul Level.  See Figure 6.</t>
  </si>
  <si>
    <r>
      <t xml:space="preserve">         </t>
    </r>
    <r>
      <rPr>
        <b/>
        <sz val="10"/>
        <color theme="0" tint="-0.499984740745262"/>
        <rFont val="Calibri"/>
        <family val="2"/>
        <scheme val="minor"/>
      </rPr>
      <t>Minimum Level Workscope</t>
    </r>
    <r>
      <rPr>
        <sz val="10"/>
        <color theme="0" tint="-0.499984740745262"/>
        <rFont val="Calibri"/>
        <family val="2"/>
        <scheme val="minor"/>
      </rPr>
      <t xml:space="preserve"> – Typically applies to situations where a module has limited time since last overhaul.  The key tasks accomplished with this workscope level </t>
    </r>
  </si>
  <si>
    <t xml:space="preserve">         are external inspections, and to some extent, minor repairs.  It is not necessary to disassemble the module to meet the requirements of  a minimum level workscope.</t>
  </si>
  <si>
    <r>
      <t xml:space="preserve">         </t>
    </r>
    <r>
      <rPr>
        <b/>
        <sz val="10"/>
        <color theme="0" tint="-0.499984740745262"/>
        <rFont val="Calibri"/>
        <family val="2"/>
        <scheme val="minor"/>
      </rPr>
      <t>Performance Level Workscope</t>
    </r>
    <r>
      <rPr>
        <sz val="10"/>
        <color theme="0" tint="-0.499984740745262"/>
        <rFont val="Calibri"/>
        <family val="2"/>
        <scheme val="minor"/>
      </rPr>
      <t xml:space="preserve"> – Will normally require teardown of a module to expose the rotor assembly.  Airfoils, guide vanes, seals, and shrouds are inspected and </t>
    </r>
  </si>
  <si>
    <t xml:space="preserve">         repaired or replaced as needed to restore the performance of the module.  Cost-effective performance restoration requires determination of the items having the </t>
  </si>
  <si>
    <t xml:space="preserve">         greatest potential for regaining both exhaust gas temperature (EGT) and Specific Fuel Consumption (SFC) margin.</t>
  </si>
  <si>
    <r>
      <t xml:space="preserve">         </t>
    </r>
    <r>
      <rPr>
        <b/>
        <sz val="10"/>
        <color theme="0" tint="-0.499984740745262"/>
        <rFont val="Calibri"/>
        <family val="2"/>
        <scheme val="minor"/>
      </rPr>
      <t>Full Overhaul Workscope</t>
    </r>
    <r>
      <rPr>
        <sz val="10"/>
        <color theme="0" tint="-0.499984740745262"/>
        <rFont val="Calibri"/>
        <family val="2"/>
        <scheme val="minor"/>
      </rPr>
      <t xml:space="preserve"> - Full overhaul applies to a module if its time / cycle status exceeds the recommended (soft-time) threshold, or if the condition </t>
    </r>
  </si>
  <si>
    <t xml:space="preserve">         of the hardware makes full overhaul necessary.  The module is disassembled to piece-parts and every part in the module receives a full serviceability</t>
  </si>
  <si>
    <t xml:space="preserve">         inspection and, if required, is replaced with new or repaired hardware.</t>
  </si>
  <si>
    <t>Figure 6 -  Workscope levels</t>
  </si>
  <si>
    <t xml:space="preserve">         The level of workscope to be performed on an engine is dependent on the time accumulated on the engine modules and observed hardware condition.  The key determinants that</t>
  </si>
  <si>
    <t xml:space="preserve">          affect the workscope inputs vary by operator but generally can be categorized as being influenced by either; 1.) Time on-wing considerations, or 2.) Business considerations.</t>
  </si>
  <si>
    <t xml:space="preserve">          Figure 7 illustrates the trade-off between workscope policy optimized for maximum usgage of engine LLPs versus one optimized for minimum numbe rof shop visits.</t>
  </si>
  <si>
    <t>Figure 7 -  Example Workscope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</si>
</sst>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quot;$&quot;#,##0"/>
    <numFmt numFmtId="166" formatCode="#,##0.0"/>
    <numFmt numFmtId="167" formatCode="0.0000"/>
    <numFmt numFmtId="168" formatCode="0.000"/>
    <numFmt numFmtId="169" formatCode="#,##0.0000"/>
    <numFmt numFmtId="170" formatCode="#,##0;\(#,##0\);\-"/>
    <numFmt numFmtId="171" formatCode="#,##0.00;\(#,##0.00\);\-"/>
  </numFmts>
  <fonts count="34" x14ac:knownFonts="1">
    <font>
      <sz val="11"/>
      <color theme="1"/>
      <name val="Calibri"/>
      <family val="2"/>
      <scheme val="minor"/>
    </font>
    <font>
      <sz val="8"/>
      <color theme="1"/>
      <name val="Calibri"/>
      <family val="2"/>
      <scheme val="minor"/>
    </font>
    <font>
      <b/>
      <sz val="8"/>
      <color indexed="9"/>
      <name val="Calibri"/>
      <family val="2"/>
      <scheme val="minor"/>
    </font>
    <font>
      <sz val="8"/>
      <color rgb="FF595959"/>
      <name val="Calibri"/>
      <family val="2"/>
      <scheme val="minor"/>
    </font>
    <font>
      <sz val="8"/>
      <color rgb="FF333333"/>
      <name val="Calibri"/>
      <family val="2"/>
      <scheme val="minor"/>
    </font>
    <font>
      <sz val="8"/>
      <color rgb="FFC00000"/>
      <name val="Calibri"/>
      <family val="2"/>
      <scheme val="minor"/>
    </font>
    <font>
      <sz val="8"/>
      <color indexed="63"/>
      <name val="Calibri"/>
      <family val="2"/>
      <scheme val="minor"/>
    </font>
    <font>
      <sz val="9"/>
      <name val="Calibri"/>
      <family val="2"/>
      <scheme val="minor"/>
    </font>
    <font>
      <b/>
      <sz val="8"/>
      <color rgb="FF595959"/>
      <name val="Calibri"/>
      <family val="2"/>
      <scheme val="minor"/>
    </font>
    <font>
      <b/>
      <sz val="16"/>
      <color theme="0" tint="-0.499984740745262"/>
      <name val="Calibri"/>
      <family val="2"/>
      <scheme val="minor"/>
    </font>
    <font>
      <sz val="8"/>
      <color theme="0"/>
      <name val="Calibri"/>
      <family val="2"/>
      <scheme val="minor"/>
    </font>
    <font>
      <sz val="8"/>
      <color rgb="FFFF0000"/>
      <name val="Calibri"/>
      <family val="2"/>
      <scheme val="minor"/>
    </font>
    <font>
      <u/>
      <sz val="11"/>
      <color theme="10"/>
      <name val="Calibri"/>
      <family val="2"/>
      <scheme val="minor"/>
    </font>
    <font>
      <u/>
      <sz val="11"/>
      <color theme="3"/>
      <name val="Calibri"/>
      <family val="2"/>
      <scheme val="minor"/>
    </font>
    <font>
      <sz val="8"/>
      <color theme="3"/>
      <name val="Calibri"/>
      <family val="2"/>
      <scheme val="minor"/>
    </font>
    <font>
      <b/>
      <sz val="8"/>
      <color theme="0"/>
      <name val="Calibri"/>
      <family val="2"/>
      <scheme val="minor"/>
    </font>
    <font>
      <sz val="8"/>
      <color indexed="9"/>
      <name val="Calibri"/>
      <family val="2"/>
      <scheme val="minor"/>
    </font>
    <font>
      <b/>
      <sz val="8"/>
      <color rgb="FFC00000"/>
      <name val="Calibri"/>
      <family val="2"/>
      <scheme val="minor"/>
    </font>
    <font>
      <sz val="8"/>
      <color theme="1" tint="0.34998626667073579"/>
      <name val="Calibri"/>
      <family val="2"/>
      <scheme val="minor"/>
    </font>
    <font>
      <b/>
      <sz val="8"/>
      <color rgb="FF333333"/>
      <name val="Calibri"/>
      <family val="2"/>
      <scheme val="minor"/>
    </font>
    <font>
      <sz val="8"/>
      <color rgb="FF808080"/>
      <name val="Calibri"/>
      <family val="2"/>
      <scheme val="minor"/>
    </font>
    <font>
      <b/>
      <sz val="8"/>
      <color theme="1" tint="0.34998626667073579"/>
      <name val="Calibri"/>
      <family val="2"/>
      <scheme val="minor"/>
    </font>
    <font>
      <sz val="8"/>
      <color theme="1" tint="0.499984740745262"/>
      <name val="Calibri"/>
      <family val="2"/>
      <scheme val="minor"/>
    </font>
    <font>
      <b/>
      <sz val="11"/>
      <color theme="1" tint="0.34998626667073579"/>
      <name val="Calibri"/>
      <family val="2"/>
      <scheme val="minor"/>
    </font>
    <font>
      <sz val="9"/>
      <color theme="1" tint="0.34998626667073579"/>
      <name val="Calibri"/>
      <family val="2"/>
      <scheme val="minor"/>
    </font>
    <font>
      <sz val="9"/>
      <color theme="1"/>
      <name val="Calibri"/>
      <family val="2"/>
      <scheme val="minor"/>
    </font>
    <font>
      <b/>
      <sz val="9"/>
      <color theme="1" tint="0.34998626667073579"/>
      <name val="Calibri"/>
      <family val="2"/>
      <scheme val="minor"/>
    </font>
    <font>
      <sz val="10"/>
      <color theme="0"/>
      <name val="Calibri"/>
      <family val="2"/>
      <scheme val="minor"/>
    </font>
    <font>
      <sz val="11"/>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0"/>
      <color theme="0" tint="-0.499984740745262"/>
      <name val="Calibri"/>
      <family val="2"/>
      <scheme val="minor"/>
    </font>
    <font>
      <b/>
      <sz val="10"/>
      <color theme="0" tint="-0.499984740745262"/>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D9D9D9"/>
        <bgColor indexed="64"/>
      </patternFill>
    </fill>
    <fill>
      <patternFill patternType="solid">
        <fgColor rgb="FFFEFCBE"/>
        <bgColor indexed="64"/>
      </patternFill>
    </fill>
    <fill>
      <patternFill patternType="solid">
        <fgColor rgb="FFF2F2F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055073"/>
        <bgColor indexed="64"/>
      </patternFill>
    </fill>
    <fill>
      <patternFill patternType="solid">
        <fgColor rgb="FFFFFFB3"/>
        <bgColor indexed="64"/>
      </patternFill>
    </fill>
    <fill>
      <patternFill patternType="solid">
        <fgColor rgb="FFA6A6A6"/>
        <bgColor indexed="64"/>
      </patternFill>
    </fill>
    <fill>
      <patternFill patternType="solid">
        <fgColor theme="1" tint="0.34998626667073579"/>
        <bgColor indexed="64"/>
      </patternFill>
    </fill>
  </fills>
  <borders count="74">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style="thin">
        <color theme="0"/>
      </left>
      <right style="thin">
        <color theme="0"/>
      </right>
      <top style="thin">
        <color indexed="9"/>
      </top>
      <bottom/>
      <diagonal/>
    </border>
    <border>
      <left style="thin">
        <color theme="0"/>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theme="0"/>
      </left>
      <right style="thin">
        <color theme="0"/>
      </right>
      <top/>
      <bottom style="thin">
        <color indexed="64"/>
      </bottom>
      <diagonal/>
    </border>
    <border>
      <left style="thin">
        <color theme="0"/>
      </left>
      <right style="thin">
        <color indexed="9"/>
      </right>
      <top/>
      <bottom style="thin">
        <color indexed="64"/>
      </bottom>
      <diagonal/>
    </border>
    <border>
      <left/>
      <right style="thin">
        <color indexed="9"/>
      </right>
      <top/>
      <bottom style="thin">
        <color indexed="64"/>
      </bottom>
      <diagonal/>
    </border>
    <border>
      <left/>
      <right style="thin">
        <color theme="0"/>
      </right>
      <top/>
      <bottom style="thin">
        <color indexed="64"/>
      </bottom>
      <diagonal/>
    </border>
    <border>
      <left/>
      <right style="thin">
        <color indexed="9"/>
      </right>
      <top style="thin">
        <color indexed="9"/>
      </top>
      <bottom style="thin">
        <color theme="1" tint="0.34998626667073579"/>
      </bottom>
      <diagonal/>
    </border>
    <border>
      <left style="thin">
        <color indexed="9"/>
      </left>
      <right style="thin">
        <color indexed="9"/>
      </right>
      <top style="thin">
        <color indexed="9"/>
      </top>
      <bottom style="thin">
        <color theme="1" tint="0.34998626667073579"/>
      </bottom>
      <diagonal/>
    </border>
    <border>
      <left/>
      <right/>
      <top style="thin">
        <color indexed="9"/>
      </top>
      <bottom style="thin">
        <color theme="1" tint="0.34998626667073579"/>
      </bottom>
      <diagonal/>
    </border>
    <border>
      <left style="thin">
        <color indexed="9"/>
      </left>
      <right style="thin">
        <color indexed="9"/>
      </right>
      <top/>
      <bottom style="thin">
        <color indexed="64"/>
      </bottom>
      <diagonal/>
    </border>
    <border>
      <left style="thin">
        <color indexed="9"/>
      </left>
      <right style="thin">
        <color indexed="9"/>
      </right>
      <top style="thin">
        <color indexed="9"/>
      </top>
      <bottom style="thin">
        <color indexed="64"/>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34998626667073579"/>
      </left>
      <right/>
      <top style="thin">
        <color theme="1" tint="0.34998626667073579"/>
      </top>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1" tint="0.34998626667073579"/>
      </left>
      <right/>
      <top/>
      <bottom/>
      <diagonal/>
    </border>
    <border>
      <left style="hair">
        <color theme="0" tint="-0.24994659260841701"/>
      </left>
      <right style="hair">
        <color theme="0" tint="-0.24994659260841701"/>
      </right>
      <top style="hair">
        <color theme="0" tint="-0.24994659260841701"/>
      </top>
      <bottom/>
      <diagonal/>
    </border>
    <border>
      <left style="hair">
        <color theme="1" tint="0.34998626667073579"/>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op>
      <bottom style="thin">
        <color theme="0"/>
      </bottom>
      <diagonal/>
    </border>
    <border>
      <left style="thin">
        <color indexed="9"/>
      </left>
      <right style="thin">
        <color indexed="9"/>
      </right>
      <top style="thin">
        <color indexed="9"/>
      </top>
      <bottom/>
      <diagonal/>
    </border>
    <border>
      <left/>
      <right style="thin">
        <color indexed="9"/>
      </right>
      <top/>
      <bottom/>
      <diagonal/>
    </border>
    <border>
      <left style="thin">
        <color theme="0" tint="-0.34998626667073579"/>
      </left>
      <right/>
      <top style="thin">
        <color indexed="9"/>
      </top>
      <bottom/>
      <diagonal/>
    </border>
    <border>
      <left/>
      <right/>
      <top style="thin">
        <color indexed="9"/>
      </top>
      <bottom/>
      <diagonal/>
    </border>
    <border>
      <left/>
      <right style="thin">
        <color theme="0" tint="-0.34998626667073579"/>
      </right>
      <top style="thin">
        <color indexed="9"/>
      </top>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op>
      <bottom/>
      <diagonal/>
    </border>
    <border>
      <left/>
      <right style="thin">
        <color theme="0" tint="-0.34998626667073579"/>
      </right>
      <top style="thin">
        <color theme="0"/>
      </top>
      <bottom/>
      <diagonal/>
    </border>
    <border>
      <left style="thin">
        <color theme="0" tint="-0.34998626667073579"/>
      </left>
      <right style="thin">
        <color theme="0" tint="-0.34998626667073579"/>
      </right>
      <top style="thin">
        <color theme="0"/>
      </top>
      <bottom/>
      <diagonal/>
    </border>
    <border>
      <left style="thin">
        <color theme="0"/>
      </left>
      <right/>
      <top style="thin">
        <color theme="0"/>
      </top>
      <bottom style="thin">
        <color theme="0" tint="-0.14996795556505021"/>
      </bottom>
      <diagonal/>
    </border>
    <border>
      <left/>
      <right/>
      <top style="thin">
        <color theme="0"/>
      </top>
      <bottom style="thin">
        <color theme="0" tint="-0.14996795556505021"/>
      </bottom>
      <diagonal/>
    </border>
    <border>
      <left/>
      <right style="thin">
        <color theme="0"/>
      </right>
      <top style="thin">
        <color theme="0"/>
      </top>
      <bottom style="thin">
        <color theme="0" tint="-0.14996795556505021"/>
      </bottom>
      <diagonal/>
    </border>
    <border>
      <left/>
      <right style="thin">
        <color theme="0" tint="-0.34998626667073579"/>
      </right>
      <top style="thin">
        <color theme="0"/>
      </top>
      <bottom style="thin">
        <color theme="0" tint="-0.14996795556505021"/>
      </bottom>
      <diagonal/>
    </border>
    <border>
      <left/>
      <right/>
      <top/>
      <bottom style="thin">
        <color theme="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right>
      <top style="thin">
        <color theme="0" tint="-0.14996795556505021"/>
      </top>
      <bottom style="thin">
        <color theme="0"/>
      </bottom>
      <diagonal/>
    </border>
    <border>
      <left/>
      <right style="thin">
        <color theme="0" tint="-0.14996795556505021"/>
      </right>
      <top style="thin">
        <color theme="0" tint="-0.14996795556505021"/>
      </top>
      <bottom style="thin">
        <color theme="0"/>
      </bottom>
      <diagonal/>
    </border>
    <border>
      <left style="thin">
        <color theme="0" tint="-0.14996795556505021"/>
      </left>
      <right style="thin">
        <color theme="0" tint="-0.34998626667073579"/>
      </right>
      <top style="thin">
        <color theme="0" tint="-0.14996795556505021"/>
      </top>
      <bottom style="thin">
        <color theme="0"/>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thin">
        <color theme="0" tint="-0.34998626667073579"/>
      </bottom>
      <diagonal/>
    </border>
    <border>
      <left/>
      <right style="thin">
        <color theme="0"/>
      </right>
      <top/>
      <bottom style="thin">
        <color theme="0" tint="-0.34998626667073579"/>
      </bottom>
      <diagonal/>
    </border>
    <border>
      <left/>
      <right style="thin">
        <color theme="0" tint="-0.34998626667073579"/>
      </right>
      <top/>
      <bottom style="thin">
        <color indexed="9"/>
      </bottom>
      <diagonal/>
    </border>
    <border>
      <left style="thin">
        <color theme="0" tint="-0.34998626667073579"/>
      </left>
      <right/>
      <top style="thin">
        <color theme="0"/>
      </top>
      <bottom/>
      <diagonal/>
    </border>
    <border>
      <left/>
      <right/>
      <top style="thin">
        <color theme="1" tint="0.34998626667073579"/>
      </top>
      <bottom/>
      <diagonal/>
    </border>
  </borders>
  <cellStyleXfs count="2">
    <xf numFmtId="0" fontId="0" fillId="0" borderId="0"/>
    <xf numFmtId="0" fontId="12" fillId="0" borderId="0" applyNumberFormat="0" applyFill="0" applyBorder="0" applyAlignment="0" applyProtection="0"/>
  </cellStyleXfs>
  <cellXfs count="313">
    <xf numFmtId="0" fontId="0" fillId="0" borderId="0" xfId="0"/>
    <xf numFmtId="0" fontId="1" fillId="2" borderId="0" xfId="0" applyFont="1" applyFill="1" applyProtection="1"/>
    <xf numFmtId="0" fontId="2" fillId="2" borderId="0" xfId="0" applyFont="1" applyFill="1" applyBorder="1" applyAlignment="1" applyProtection="1">
      <alignment horizontal="left"/>
    </xf>
    <xf numFmtId="0" fontId="2" fillId="3" borderId="1" xfId="0" applyFont="1" applyFill="1" applyBorder="1" applyAlignment="1" applyProtection="1">
      <alignment horizontal="left"/>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0" xfId="0" applyFont="1" applyFill="1" applyBorder="1" applyAlignment="1" applyProtection="1">
      <alignment horizontal="left"/>
    </xf>
    <xf numFmtId="0" fontId="3" fillId="2" borderId="0" xfId="0" applyFont="1" applyFill="1" applyProtection="1"/>
    <xf numFmtId="0" fontId="3" fillId="4" borderId="4" xfId="0" applyFont="1" applyFill="1" applyBorder="1" applyAlignment="1" applyProtection="1">
      <alignment horizontal="center"/>
    </xf>
    <xf numFmtId="0" fontId="3" fillId="4" borderId="5" xfId="0" applyFont="1" applyFill="1" applyBorder="1" applyAlignment="1" applyProtection="1">
      <alignment horizontal="center"/>
    </xf>
    <xf numFmtId="164" fontId="3" fillId="4" borderId="7" xfId="0" applyNumberFormat="1" applyFont="1" applyFill="1" applyBorder="1" applyAlignment="1" applyProtection="1">
      <alignment horizontal="center"/>
    </xf>
    <xf numFmtId="164" fontId="3" fillId="2" borderId="3" xfId="0" applyNumberFormat="1" applyFont="1" applyFill="1" applyBorder="1" applyAlignment="1" applyProtection="1">
      <alignment horizontal="center"/>
    </xf>
    <xf numFmtId="0" fontId="3" fillId="4" borderId="8" xfId="0" applyFont="1" applyFill="1" applyBorder="1" applyAlignment="1" applyProtection="1"/>
    <xf numFmtId="0" fontId="3" fillId="4" borderId="3" xfId="0" applyFont="1" applyFill="1" applyBorder="1" applyAlignment="1" applyProtection="1"/>
    <xf numFmtId="0" fontId="3" fillId="4" borderId="10" xfId="0" quotePrefix="1"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1" xfId="0" applyFont="1" applyFill="1" applyBorder="1" applyAlignment="1" applyProtection="1">
      <alignment horizontal="center"/>
    </xf>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3" fillId="4" borderId="15" xfId="0" applyFont="1" applyFill="1" applyBorder="1" applyAlignment="1" applyProtection="1">
      <alignment horizontal="center"/>
    </xf>
    <xf numFmtId="0" fontId="3" fillId="4" borderId="16" xfId="0" applyFont="1" applyFill="1" applyBorder="1" applyAlignment="1" applyProtection="1">
      <alignment horizontal="left"/>
    </xf>
    <xf numFmtId="165" fontId="3" fillId="4" borderId="17" xfId="0" applyNumberFormat="1" applyFont="1" applyFill="1" applyBorder="1" applyAlignment="1" applyProtection="1">
      <alignment horizontal="center"/>
    </xf>
    <xf numFmtId="166" fontId="3" fillId="4" borderId="18" xfId="0" applyNumberFormat="1" applyFont="1" applyFill="1" applyBorder="1" applyAlignment="1" applyProtection="1">
      <alignment horizontal="center"/>
    </xf>
    <xf numFmtId="164" fontId="3" fillId="4" borderId="19" xfId="0" applyNumberFormat="1" applyFont="1" applyFill="1" applyBorder="1" applyAlignment="1" applyProtection="1">
      <alignment horizontal="center"/>
    </xf>
    <xf numFmtId="164" fontId="3" fillId="2" borderId="7" xfId="0" applyNumberFormat="1" applyFont="1" applyFill="1" applyBorder="1" applyAlignment="1" applyProtection="1">
      <alignment horizontal="center"/>
    </xf>
    <xf numFmtId="0" fontId="3" fillId="0" borderId="20" xfId="0" quotePrefix="1" applyFont="1" applyFill="1" applyBorder="1" applyAlignment="1" applyProtection="1">
      <alignment horizontal="center"/>
    </xf>
    <xf numFmtId="0" fontId="3" fillId="0" borderId="20" xfId="0" applyFont="1" applyFill="1" applyBorder="1" applyAlignment="1" applyProtection="1">
      <alignment horizontal="center"/>
    </xf>
    <xf numFmtId="3" fontId="3" fillId="0" borderId="20" xfId="0" applyNumberFormat="1" applyFont="1" applyFill="1" applyBorder="1" applyAlignment="1" applyProtection="1">
      <alignment horizontal="center"/>
    </xf>
    <xf numFmtId="4" fontId="3" fillId="0" borderId="20" xfId="0" applyNumberFormat="1" applyFont="1" applyFill="1" applyBorder="1" applyAlignment="1" applyProtection="1">
      <alignment horizontal="center"/>
      <protection hidden="1"/>
    </xf>
    <xf numFmtId="3" fontId="3" fillId="5" borderId="21" xfId="0" applyNumberFormat="1" applyFont="1" applyFill="1" applyBorder="1" applyAlignment="1" applyProtection="1">
      <alignment horizontal="center"/>
      <protection hidden="1"/>
    </xf>
    <xf numFmtId="4" fontId="3" fillId="6" borderId="20" xfId="0" applyNumberFormat="1" applyFont="1" applyFill="1" applyBorder="1" applyAlignment="1" applyProtection="1">
      <alignment horizontal="center"/>
      <protection hidden="1"/>
    </xf>
    <xf numFmtId="3" fontId="3" fillId="5" borderId="20" xfId="0" applyNumberFormat="1" applyFont="1" applyFill="1" applyBorder="1" applyAlignment="1" applyProtection="1">
      <alignment horizontal="center"/>
      <protection hidden="1"/>
    </xf>
    <xf numFmtId="0" fontId="3" fillId="2" borderId="22" xfId="0" applyFont="1" applyFill="1" applyBorder="1" applyAlignment="1" applyProtection="1">
      <alignment horizontal="left"/>
    </xf>
    <xf numFmtId="0" fontId="3" fillId="7" borderId="23" xfId="0" applyFont="1" applyFill="1" applyBorder="1" applyAlignment="1" applyProtection="1">
      <alignment vertical="center"/>
    </xf>
    <xf numFmtId="3" fontId="3" fillId="5" borderId="23" xfId="0" applyNumberFormat="1" applyFont="1" applyFill="1" applyBorder="1" applyAlignment="1" applyProtection="1">
      <alignment horizontal="center"/>
    </xf>
    <xf numFmtId="2" fontId="4" fillId="2" borderId="0" xfId="0" applyNumberFormat="1" applyFont="1" applyFill="1" applyBorder="1" applyAlignment="1" applyProtection="1">
      <alignment horizontal="center"/>
    </xf>
    <xf numFmtId="167" fontId="4" fillId="8" borderId="23" xfId="0" applyNumberFormat="1" applyFont="1" applyFill="1" applyBorder="1" applyAlignment="1" applyProtection="1">
      <alignment horizontal="center"/>
      <protection hidden="1"/>
    </xf>
    <xf numFmtId="167" fontId="4" fillId="2" borderId="0" xfId="0" applyNumberFormat="1" applyFont="1" applyFill="1" applyBorder="1" applyAlignment="1" applyProtection="1">
      <alignment horizontal="center"/>
      <protection hidden="1"/>
    </xf>
    <xf numFmtId="0" fontId="3" fillId="2" borderId="0" xfId="0" applyFont="1" applyFill="1" applyAlignment="1" applyProtection="1">
      <alignment horizontal="left"/>
    </xf>
    <xf numFmtId="168" fontId="3" fillId="6" borderId="23" xfId="0" applyNumberFormat="1" applyFont="1" applyFill="1" applyBorder="1" applyAlignment="1" applyProtection="1">
      <alignment horizontal="center"/>
    </xf>
    <xf numFmtId="9" fontId="3" fillId="2" borderId="0" xfId="0" applyNumberFormat="1" applyFont="1" applyFill="1" applyAlignment="1" applyProtection="1">
      <alignment horizontal="center"/>
    </xf>
    <xf numFmtId="167" fontId="3" fillId="6" borderId="23" xfId="0" applyNumberFormat="1" applyFont="1" applyFill="1" applyBorder="1" applyAlignment="1" applyProtection="1">
      <alignment horizontal="center"/>
    </xf>
    <xf numFmtId="167" fontId="3" fillId="6" borderId="24" xfId="0" applyNumberFormat="1" applyFont="1" applyFill="1" applyBorder="1" applyAlignment="1" applyProtection="1">
      <alignment horizontal="center"/>
    </xf>
    <xf numFmtId="0" fontId="3" fillId="0" borderId="21" xfId="0" applyFont="1" applyFill="1" applyBorder="1" applyAlignment="1" applyProtection="1">
      <alignment horizontal="center"/>
    </xf>
    <xf numFmtId="3" fontId="3" fillId="0" borderId="21" xfId="0" applyNumberFormat="1" applyFont="1" applyFill="1" applyBorder="1" applyAlignment="1" applyProtection="1">
      <alignment horizontal="center"/>
    </xf>
    <xf numFmtId="0" fontId="3" fillId="2" borderId="25" xfId="0" applyFont="1" applyFill="1" applyBorder="1" applyAlignment="1" applyProtection="1">
      <alignment horizontal="left"/>
    </xf>
    <xf numFmtId="0" fontId="3" fillId="7" borderId="24" xfId="0" applyFont="1" applyFill="1" applyBorder="1" applyAlignment="1" applyProtection="1">
      <alignment vertical="center"/>
    </xf>
    <xf numFmtId="3" fontId="3" fillId="5" borderId="24" xfId="0" applyNumberFormat="1" applyFont="1" applyFill="1" applyBorder="1" applyAlignment="1" applyProtection="1">
      <alignment horizontal="center"/>
    </xf>
    <xf numFmtId="168" fontId="3" fillId="6" borderId="24" xfId="0" applyNumberFormat="1" applyFont="1" applyFill="1" applyBorder="1" applyAlignment="1" applyProtection="1">
      <alignment horizontal="center"/>
    </xf>
    <xf numFmtId="0" fontId="3" fillId="0" borderId="21" xfId="0" applyFont="1" applyFill="1" applyBorder="1" applyAlignment="1" applyProtection="1">
      <alignment horizontal="left"/>
    </xf>
    <xf numFmtId="0" fontId="3" fillId="5" borderId="21" xfId="0" applyFont="1" applyFill="1" applyBorder="1" applyAlignment="1" applyProtection="1">
      <alignment horizontal="center"/>
      <protection hidden="1"/>
    </xf>
    <xf numFmtId="167" fontId="4" fillId="8" borderId="24" xfId="0" applyNumberFormat="1" applyFont="1" applyFill="1" applyBorder="1" applyAlignment="1" applyProtection="1">
      <alignment horizontal="center"/>
      <protection hidden="1"/>
    </xf>
    <xf numFmtId="0" fontId="3" fillId="0" borderId="20" xfId="0" applyFont="1" applyFill="1" applyBorder="1" applyAlignment="1" applyProtection="1">
      <alignment horizontal="left"/>
    </xf>
    <xf numFmtId="2" fontId="5" fillId="2" borderId="0" xfId="0" applyNumberFormat="1" applyFont="1" applyFill="1" applyBorder="1" applyAlignment="1" applyProtection="1">
      <alignment horizontal="center"/>
    </xf>
    <xf numFmtId="167" fontId="5" fillId="8" borderId="24" xfId="0" applyNumberFormat="1" applyFont="1" applyFill="1" applyBorder="1" applyAlignment="1" applyProtection="1">
      <alignment horizontal="center"/>
      <protection hidden="1"/>
    </xf>
    <xf numFmtId="0" fontId="3" fillId="2" borderId="0" xfId="0" applyFont="1" applyFill="1" applyAlignment="1" applyProtection="1">
      <alignment horizontal="center"/>
    </xf>
    <xf numFmtId="3" fontId="3" fillId="0" borderId="20" xfId="0" quotePrefix="1" applyNumberFormat="1" applyFont="1" applyFill="1" applyBorder="1" applyAlignment="1" applyProtection="1">
      <alignment horizontal="center"/>
    </xf>
    <xf numFmtId="167" fontId="1" fillId="2" borderId="0" xfId="0" applyNumberFormat="1" applyFont="1" applyFill="1" applyProtection="1"/>
    <xf numFmtId="2" fontId="1" fillId="2" borderId="0" xfId="0" applyNumberFormat="1" applyFont="1" applyFill="1" applyAlignment="1" applyProtection="1">
      <alignment horizontal="center"/>
    </xf>
    <xf numFmtId="0" fontId="3" fillId="5" borderId="24" xfId="0" applyFont="1" applyFill="1" applyBorder="1" applyAlignment="1" applyProtection="1">
      <alignment vertical="center"/>
    </xf>
    <xf numFmtId="167" fontId="3" fillId="2" borderId="0" xfId="0" applyNumberFormat="1" applyFont="1" applyFill="1" applyAlignment="1" applyProtection="1">
      <alignment horizontal="center"/>
    </xf>
    <xf numFmtId="0" fontId="6" fillId="5" borderId="24" xfId="0" applyFont="1" applyFill="1" applyBorder="1" applyAlignment="1" applyProtection="1">
      <alignment vertical="center"/>
    </xf>
    <xf numFmtId="0" fontId="3" fillId="0" borderId="21" xfId="0" applyFont="1" applyFill="1" applyBorder="1" applyProtection="1"/>
    <xf numFmtId="4" fontId="3" fillId="0" borderId="21" xfId="0" applyNumberFormat="1" applyFont="1" applyFill="1" applyBorder="1" applyAlignment="1" applyProtection="1">
      <alignment horizontal="center"/>
      <protection hidden="1"/>
    </xf>
    <xf numFmtId="0" fontId="1" fillId="5" borderId="21" xfId="0" applyFont="1" applyFill="1" applyBorder="1" applyProtection="1"/>
    <xf numFmtId="167" fontId="1" fillId="5" borderId="21" xfId="0" applyNumberFormat="1" applyFont="1" applyFill="1" applyBorder="1" applyProtection="1"/>
    <xf numFmtId="169" fontId="7" fillId="9" borderId="0" xfId="0" applyNumberFormat="1" applyFont="1" applyFill="1" applyBorder="1" applyAlignment="1" applyProtection="1">
      <alignment horizontal="center"/>
    </xf>
    <xf numFmtId="3" fontId="4" fillId="5" borderId="21" xfId="0" applyNumberFormat="1" applyFont="1" applyFill="1" applyBorder="1" applyAlignment="1" applyProtection="1">
      <alignment horizontal="center"/>
    </xf>
    <xf numFmtId="3" fontId="4" fillId="5" borderId="20" xfId="0" applyNumberFormat="1" applyFont="1" applyFill="1" applyBorder="1" applyAlignment="1" applyProtection="1">
      <alignment horizontal="center"/>
    </xf>
    <xf numFmtId="0" fontId="3" fillId="7" borderId="26" xfId="0" applyFont="1" applyFill="1" applyBorder="1" applyAlignment="1" applyProtection="1">
      <alignment vertical="center"/>
    </xf>
    <xf numFmtId="0" fontId="6" fillId="5" borderId="26" xfId="0" applyFont="1" applyFill="1" applyBorder="1" applyAlignment="1" applyProtection="1">
      <alignment vertical="center"/>
    </xf>
    <xf numFmtId="0" fontId="8" fillId="4" borderId="27" xfId="0" applyFont="1" applyFill="1" applyBorder="1" applyAlignment="1" applyProtection="1">
      <alignment horizontal="left"/>
    </xf>
    <xf numFmtId="0" fontId="8" fillId="4" borderId="28" xfId="0" applyFont="1" applyFill="1" applyBorder="1" applyAlignment="1" applyProtection="1">
      <alignment horizontal="left"/>
    </xf>
    <xf numFmtId="3" fontId="8" fillId="4" borderId="28" xfId="0" applyNumberFormat="1" applyFont="1" applyFill="1" applyBorder="1" applyAlignment="1" applyProtection="1">
      <alignment horizontal="center"/>
    </xf>
    <xf numFmtId="167" fontId="4" fillId="5" borderId="21" xfId="0" applyNumberFormat="1" applyFont="1" applyFill="1" applyBorder="1" applyAlignment="1" applyProtection="1">
      <alignment horizontal="center"/>
    </xf>
    <xf numFmtId="3" fontId="1" fillId="5" borderId="21" xfId="0" applyNumberFormat="1" applyFont="1" applyFill="1" applyBorder="1" applyProtection="1"/>
    <xf numFmtId="0" fontId="1" fillId="2" borderId="0" xfId="0" applyFont="1" applyFill="1"/>
    <xf numFmtId="0" fontId="5" fillId="2" borderId="0" xfId="0" applyFont="1" applyFill="1"/>
    <xf numFmtId="0" fontId="5" fillId="2" borderId="0" xfId="0" applyFont="1" applyFill="1" applyAlignment="1">
      <alignment horizontal="center"/>
    </xf>
    <xf numFmtId="0" fontId="1" fillId="2" borderId="29" xfId="0" applyFont="1" applyFill="1" applyBorder="1"/>
    <xf numFmtId="0" fontId="1" fillId="2" borderId="30" xfId="0" applyFont="1" applyFill="1" applyBorder="1"/>
    <xf numFmtId="0" fontId="1" fillId="2" borderId="30" xfId="0" applyFont="1" applyFill="1" applyBorder="1" applyProtection="1">
      <protection locked="0"/>
    </xf>
    <xf numFmtId="0" fontId="1" fillId="2" borderId="31" xfId="0" applyFont="1" applyFill="1" applyBorder="1" applyProtection="1">
      <protection locked="0"/>
    </xf>
    <xf numFmtId="0" fontId="1" fillId="2" borderId="32" xfId="0" applyFont="1" applyFill="1" applyBorder="1"/>
    <xf numFmtId="0" fontId="1" fillId="2" borderId="0" xfId="0" applyFont="1" applyFill="1" applyBorder="1"/>
    <xf numFmtId="0" fontId="1" fillId="2" borderId="0" xfId="0" applyFont="1" applyFill="1" applyBorder="1" applyProtection="1">
      <protection locked="0"/>
    </xf>
    <xf numFmtId="0" fontId="1" fillId="2" borderId="33" xfId="0" applyFont="1" applyFill="1" applyBorder="1" applyProtection="1">
      <protection locked="0"/>
    </xf>
    <xf numFmtId="0" fontId="10" fillId="2" borderId="0" xfId="0" applyFont="1" applyFill="1"/>
    <xf numFmtId="0" fontId="11" fillId="2" borderId="32" xfId="0" applyFont="1" applyFill="1" applyBorder="1" applyProtection="1"/>
    <xf numFmtId="0" fontId="11" fillId="2" borderId="0" xfId="0" applyFont="1" applyFill="1" applyBorder="1" applyProtection="1"/>
    <xf numFmtId="0" fontId="15" fillId="10" borderId="1" xfId="0" applyFont="1" applyFill="1" applyBorder="1" applyAlignment="1" applyProtection="1">
      <alignment horizontal="left"/>
    </xf>
    <xf numFmtId="0" fontId="10" fillId="10" borderId="34" xfId="0" applyFont="1" applyFill="1" applyBorder="1" applyAlignment="1" applyProtection="1">
      <alignment horizontal="left"/>
    </xf>
    <xf numFmtId="3" fontId="10" fillId="10" borderId="34" xfId="0" applyNumberFormat="1" applyFont="1" applyFill="1" applyBorder="1" applyAlignment="1" applyProtection="1">
      <alignment horizontal="left"/>
    </xf>
    <xf numFmtId="0" fontId="16" fillId="10" borderId="2" xfId="0" applyFont="1" applyFill="1" applyBorder="1" applyAlignment="1" applyProtection="1">
      <alignment horizontal="left"/>
    </xf>
    <xf numFmtId="0" fontId="16" fillId="10" borderId="2" xfId="0" applyFont="1" applyFill="1" applyBorder="1" applyAlignment="1" applyProtection="1">
      <alignment horizontal="center"/>
    </xf>
    <xf numFmtId="3" fontId="16" fillId="10" borderId="2" xfId="0" applyNumberFormat="1" applyFont="1" applyFill="1" applyBorder="1" applyAlignment="1" applyProtection="1">
      <alignment horizontal="center"/>
    </xf>
    <xf numFmtId="3" fontId="10" fillId="10" borderId="2" xfId="0" applyNumberFormat="1" applyFont="1" applyFill="1" applyBorder="1" applyAlignment="1" applyProtection="1">
      <alignment horizontal="center"/>
    </xf>
    <xf numFmtId="0" fontId="17" fillId="2" borderId="0" xfId="0" applyFont="1" applyFill="1" applyBorder="1" applyProtection="1"/>
    <xf numFmtId="170" fontId="5" fillId="2" borderId="0" xfId="0" applyNumberFormat="1" applyFont="1" applyFill="1" applyBorder="1" applyAlignment="1" applyProtection="1">
      <alignment horizontal="center"/>
    </xf>
    <xf numFmtId="0" fontId="17" fillId="2" borderId="0" xfId="0" applyFont="1" applyFill="1" applyBorder="1" applyAlignment="1" applyProtection="1">
      <alignment horizontal="center"/>
    </xf>
    <xf numFmtId="0" fontId="10" fillId="2" borderId="0" xfId="0" applyFont="1" applyFill="1" applyBorder="1"/>
    <xf numFmtId="0" fontId="15" fillId="3" borderId="32" xfId="0" applyFont="1" applyFill="1" applyBorder="1" applyAlignment="1" applyProtection="1">
      <alignment horizontal="left"/>
    </xf>
    <xf numFmtId="0" fontId="15" fillId="3" borderId="0" xfId="0" applyFont="1" applyFill="1" applyBorder="1" applyProtection="1"/>
    <xf numFmtId="164" fontId="10" fillId="3" borderId="35" xfId="0" applyNumberFormat="1" applyFont="1" applyFill="1" applyBorder="1" applyAlignment="1" applyProtection="1">
      <alignment horizontal="center"/>
    </xf>
    <xf numFmtId="0" fontId="10" fillId="3" borderId="0" xfId="0" applyFont="1" applyFill="1"/>
    <xf numFmtId="164" fontId="10" fillId="3" borderId="7" xfId="0" applyNumberFormat="1" applyFont="1" applyFill="1" applyBorder="1" applyAlignment="1" applyProtection="1">
      <alignment horizontal="center"/>
    </xf>
    <xf numFmtId="164" fontId="10" fillId="3" borderId="36" xfId="0" applyNumberFormat="1" applyFont="1" applyFill="1" applyBorder="1" applyAlignment="1" applyProtection="1">
      <alignment horizontal="center"/>
    </xf>
    <xf numFmtId="0" fontId="4" fillId="2" borderId="0" xfId="0" applyFont="1" applyFill="1" applyProtection="1"/>
    <xf numFmtId="167" fontId="4" fillId="2" borderId="0" xfId="0" applyNumberFormat="1" applyFont="1" applyFill="1" applyAlignment="1" applyProtection="1">
      <alignment horizontal="center"/>
    </xf>
    <xf numFmtId="170" fontId="5" fillId="2" borderId="0" xfId="0" applyNumberFormat="1" applyFont="1" applyFill="1" applyBorder="1" applyAlignment="1" applyProtection="1">
      <alignment horizontal="left"/>
    </xf>
    <xf numFmtId="10" fontId="5" fillId="2" borderId="0" xfId="0" applyNumberFormat="1" applyFont="1" applyFill="1" applyBorder="1" applyAlignment="1" applyProtection="1">
      <alignment horizontal="center"/>
    </xf>
    <xf numFmtId="0" fontId="1" fillId="2" borderId="32" xfId="0" applyFont="1" applyFill="1" applyBorder="1" applyProtection="1"/>
    <xf numFmtId="0" fontId="1" fillId="2" borderId="0" xfId="0" applyFont="1" applyFill="1" applyBorder="1" applyProtection="1"/>
    <xf numFmtId="166" fontId="10" fillId="3" borderId="7" xfId="0" applyNumberFormat="1" applyFont="1" applyFill="1" applyBorder="1" applyAlignment="1" applyProtection="1">
      <alignment horizontal="center"/>
    </xf>
    <xf numFmtId="3" fontId="10" fillId="3" borderId="0" xfId="0" applyNumberFormat="1" applyFont="1" applyFill="1" applyBorder="1" applyAlignment="1" applyProtection="1">
      <alignment horizontal="center"/>
    </xf>
    <xf numFmtId="164" fontId="10" fillId="3" borderId="10" xfId="0" applyNumberFormat="1" applyFont="1" applyFill="1" applyBorder="1" applyAlignment="1" applyProtection="1">
      <alignment horizontal="center"/>
    </xf>
    <xf numFmtId="166" fontId="10" fillId="3" borderId="10" xfId="0" applyNumberFormat="1" applyFont="1" applyFill="1" applyBorder="1" applyAlignment="1" applyProtection="1">
      <alignment horizontal="center"/>
    </xf>
    <xf numFmtId="0" fontId="18" fillId="2" borderId="32" xfId="0" applyFont="1" applyFill="1" applyBorder="1" applyAlignment="1" applyProtection="1">
      <alignment horizontal="left"/>
      <protection locked="0"/>
    </xf>
    <xf numFmtId="0" fontId="18" fillId="2" borderId="0" xfId="0" applyFont="1" applyFill="1" applyBorder="1" applyAlignment="1" applyProtection="1">
      <alignment horizontal="left"/>
      <protection locked="0"/>
    </xf>
    <xf numFmtId="3" fontId="18" fillId="11" borderId="40" xfId="0" applyNumberFormat="1" applyFont="1" applyFill="1" applyBorder="1" applyAlignment="1" applyProtection="1">
      <alignment horizontal="left"/>
      <protection locked="0"/>
    </xf>
    <xf numFmtId="170" fontId="3" fillId="2" borderId="0" xfId="0" applyNumberFormat="1" applyFont="1" applyFill="1" applyBorder="1" applyAlignment="1" applyProtection="1">
      <alignment horizontal="center"/>
    </xf>
    <xf numFmtId="0" fontId="3" fillId="2" borderId="33" xfId="0" applyFont="1" applyFill="1" applyBorder="1" applyProtection="1">
      <protection locked="0"/>
    </xf>
    <xf numFmtId="0" fontId="3" fillId="2" borderId="0" xfId="0" applyFont="1" applyFill="1" applyBorder="1" applyProtection="1"/>
    <xf numFmtId="167" fontId="5" fillId="2" borderId="0"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4" fontId="4" fillId="2" borderId="0" xfId="0" applyNumberFormat="1" applyFont="1" applyFill="1" applyBorder="1" applyAlignment="1" applyProtection="1">
      <alignment horizontal="center"/>
    </xf>
    <xf numFmtId="3" fontId="4" fillId="2" borderId="0" xfId="0" quotePrefix="1" applyNumberFormat="1" applyFont="1" applyFill="1" applyAlignment="1" applyProtection="1">
      <alignment horizontal="center"/>
    </xf>
    <xf numFmtId="2" fontId="4" fillId="2" borderId="0" xfId="0" applyNumberFormat="1" applyFont="1" applyFill="1" applyAlignment="1" applyProtection="1">
      <alignment horizontal="center"/>
    </xf>
    <xf numFmtId="9" fontId="4" fillId="2" borderId="0" xfId="0" applyNumberFormat="1" applyFont="1" applyFill="1" applyAlignment="1" applyProtection="1">
      <alignment horizontal="center"/>
    </xf>
    <xf numFmtId="3" fontId="4" fillId="2" borderId="0" xfId="0" applyNumberFormat="1" applyFont="1" applyFill="1" applyAlignment="1" applyProtection="1">
      <alignment horizontal="center"/>
    </xf>
    <xf numFmtId="167" fontId="4" fillId="2" borderId="0" xfId="0" applyNumberFormat="1" applyFont="1" applyFill="1" applyBorder="1" applyAlignment="1" applyProtection="1">
      <alignment horizontal="center"/>
    </xf>
    <xf numFmtId="0" fontId="4" fillId="2" borderId="0" xfId="0" applyFont="1" applyFill="1" applyBorder="1" applyAlignment="1" applyProtection="1">
      <alignment horizontal="left"/>
    </xf>
    <xf numFmtId="170" fontId="5" fillId="2" borderId="0" xfId="0" applyNumberFormat="1" applyFont="1" applyFill="1" applyBorder="1" applyAlignment="1">
      <alignment horizontal="center"/>
    </xf>
    <xf numFmtId="2" fontId="18" fillId="11" borderId="40" xfId="0" applyNumberFormat="1" applyFont="1" applyFill="1" applyBorder="1" applyAlignment="1" applyProtection="1">
      <alignment horizontal="left"/>
      <protection locked="0"/>
    </xf>
    <xf numFmtId="0" fontId="4" fillId="2" borderId="0" xfId="0" applyFont="1" applyFill="1" applyBorder="1" applyAlignment="1" applyProtection="1">
      <alignment horizontal="center"/>
    </xf>
    <xf numFmtId="170" fontId="17" fillId="2" borderId="0" xfId="0" applyNumberFormat="1" applyFont="1" applyFill="1" applyBorder="1" applyAlignment="1" applyProtection="1">
      <alignment horizontal="left"/>
    </xf>
    <xf numFmtId="170" fontId="17" fillId="2" borderId="0" xfId="0" applyNumberFormat="1" applyFont="1" applyFill="1" applyBorder="1" applyAlignment="1" applyProtection="1">
      <alignment horizontal="center"/>
    </xf>
    <xf numFmtId="10" fontId="17" fillId="2" borderId="0" xfId="0" applyNumberFormat="1" applyFont="1" applyFill="1" applyBorder="1" applyAlignment="1" applyProtection="1">
      <alignment horizontal="center"/>
    </xf>
    <xf numFmtId="0" fontId="4" fillId="2" borderId="0" xfId="0" quotePrefix="1" applyFont="1" applyFill="1" applyAlignment="1" applyProtection="1">
      <alignment horizontal="center"/>
    </xf>
    <xf numFmtId="0" fontId="4" fillId="2" borderId="0" xfId="0" applyFont="1" applyFill="1" applyAlignment="1" applyProtection="1">
      <alignment horizontal="center"/>
    </xf>
    <xf numFmtId="9" fontId="18" fillId="11" borderId="40" xfId="0" applyNumberFormat="1" applyFont="1" applyFill="1" applyBorder="1" applyAlignment="1" applyProtection="1">
      <alignment horizontal="left"/>
      <protection locked="0"/>
    </xf>
    <xf numFmtId="0" fontId="18" fillId="2" borderId="0" xfId="0" applyFont="1" applyFill="1" applyBorder="1" applyProtection="1">
      <protection locked="0"/>
    </xf>
    <xf numFmtId="0" fontId="4" fillId="2" borderId="0" xfId="0" applyFont="1" applyFill="1" applyBorder="1" applyProtection="1">
      <protection locked="0"/>
    </xf>
    <xf numFmtId="170" fontId="18" fillId="11" borderId="40" xfId="0" applyNumberFormat="1" applyFont="1" applyFill="1" applyBorder="1" applyAlignment="1" applyProtection="1">
      <alignment horizontal="center"/>
      <protection locked="0"/>
    </xf>
    <xf numFmtId="0" fontId="20" fillId="2" borderId="0" xfId="0" applyFont="1" applyFill="1" applyProtection="1"/>
    <xf numFmtId="4" fontId="5" fillId="2" borderId="0" xfId="0" applyNumberFormat="1" applyFont="1" applyFill="1" applyAlignment="1">
      <alignment horizontal="center"/>
    </xf>
    <xf numFmtId="0" fontId="18" fillId="11" borderId="40" xfId="0" applyFont="1" applyFill="1" applyBorder="1" applyAlignment="1" applyProtection="1">
      <alignment horizontal="left"/>
      <protection locked="0"/>
    </xf>
    <xf numFmtId="0" fontId="1" fillId="2" borderId="33" xfId="0" applyFont="1" applyFill="1" applyBorder="1" applyProtection="1"/>
    <xf numFmtId="168" fontId="5" fillId="2" borderId="0" xfId="0" applyNumberFormat="1" applyFont="1" applyFill="1" applyAlignment="1">
      <alignment horizontal="center"/>
    </xf>
    <xf numFmtId="3" fontId="5" fillId="2" borderId="0" xfId="0" applyNumberFormat="1" applyFont="1" applyFill="1" applyAlignment="1">
      <alignment horizontal="center"/>
    </xf>
    <xf numFmtId="10" fontId="5" fillId="2" borderId="0" xfId="0" applyNumberFormat="1" applyFont="1" applyFill="1" applyAlignment="1">
      <alignment horizontal="center"/>
    </xf>
    <xf numFmtId="0" fontId="1" fillId="2" borderId="31" xfId="0" applyFont="1" applyFill="1" applyBorder="1"/>
    <xf numFmtId="39" fontId="5" fillId="2" borderId="0" xfId="0" applyNumberFormat="1" applyFont="1" applyFill="1" applyAlignment="1">
      <alignment horizontal="center"/>
    </xf>
    <xf numFmtId="171" fontId="5" fillId="2" borderId="0" xfId="0" applyNumberFormat="1" applyFont="1" applyFill="1" applyAlignment="1">
      <alignment horizontal="center"/>
    </xf>
    <xf numFmtId="0" fontId="3" fillId="2" borderId="0" xfId="0" applyFont="1" applyFill="1" applyBorder="1"/>
    <xf numFmtId="0" fontId="1" fillId="2" borderId="33" xfId="0" applyFont="1" applyFill="1" applyBorder="1"/>
    <xf numFmtId="2" fontId="5" fillId="5" borderId="0" xfId="0" applyNumberFormat="1" applyFont="1" applyFill="1" applyBorder="1" applyAlignment="1" applyProtection="1">
      <alignment horizontal="center"/>
    </xf>
    <xf numFmtId="167" fontId="5" fillId="5" borderId="0" xfId="0" applyNumberFormat="1" applyFont="1" applyFill="1" applyBorder="1" applyAlignment="1" applyProtection="1">
      <alignment horizontal="center"/>
    </xf>
    <xf numFmtId="3" fontId="5" fillId="5" borderId="0" xfId="0" applyNumberFormat="1" applyFont="1" applyFill="1" applyBorder="1" applyAlignment="1" applyProtection="1">
      <alignment horizontal="center"/>
    </xf>
    <xf numFmtId="2" fontId="4" fillId="5" borderId="0" xfId="0" applyNumberFormat="1" applyFont="1" applyFill="1" applyBorder="1" applyAlignment="1" applyProtection="1">
      <alignment horizontal="center"/>
    </xf>
    <xf numFmtId="170" fontId="3" fillId="2" borderId="60" xfId="0" applyNumberFormat="1" applyFont="1" applyFill="1" applyBorder="1" applyAlignment="1" applyProtection="1">
      <alignment horizontal="center"/>
    </xf>
    <xf numFmtId="170" fontId="3" fillId="2" borderId="33" xfId="0" applyNumberFormat="1" applyFont="1" applyFill="1" applyBorder="1" applyAlignment="1" applyProtection="1">
      <alignment horizontal="center"/>
    </xf>
    <xf numFmtId="170" fontId="3" fillId="2" borderId="32" xfId="0" applyNumberFormat="1" applyFont="1" applyFill="1" applyBorder="1" applyAlignment="1" applyProtection="1">
      <alignment horizontal="center"/>
    </xf>
    <xf numFmtId="0" fontId="3" fillId="2" borderId="0" xfId="0" applyFont="1" applyFill="1" applyBorder="1" applyAlignment="1" applyProtection="1">
      <alignment horizontal="left"/>
    </xf>
    <xf numFmtId="170" fontId="3" fillId="2" borderId="33" xfId="0" applyNumberFormat="1" applyFont="1" applyFill="1" applyBorder="1" applyAlignment="1">
      <alignment horizontal="center"/>
    </xf>
    <xf numFmtId="0" fontId="3" fillId="2" borderId="61" xfId="0" applyFont="1" applyFill="1" applyBorder="1" applyProtection="1"/>
    <xf numFmtId="170" fontId="3" fillId="2" borderId="62" xfId="0" applyNumberFormat="1" applyFont="1" applyFill="1" applyBorder="1" applyAlignment="1" applyProtection="1">
      <alignment horizontal="center"/>
    </xf>
    <xf numFmtId="170" fontId="3" fillId="2" borderId="61" xfId="0" applyNumberFormat="1" applyFont="1" applyFill="1" applyBorder="1" applyAlignment="1" applyProtection="1">
      <alignment horizontal="center"/>
    </xf>
    <xf numFmtId="170" fontId="3" fillId="2" borderId="41" xfId="0" applyNumberFormat="1" applyFont="1" applyFill="1" applyBorder="1" applyAlignment="1" applyProtection="1">
      <alignment horizontal="center"/>
    </xf>
    <xf numFmtId="0" fontId="3" fillId="2" borderId="61" xfId="0" applyFont="1" applyFill="1" applyBorder="1" applyAlignment="1" applyProtection="1">
      <alignment horizontal="left"/>
    </xf>
    <xf numFmtId="170" fontId="3" fillId="2" borderId="63" xfId="0" applyNumberFormat="1" applyFont="1" applyFill="1" applyBorder="1" applyAlignment="1" applyProtection="1">
      <alignment horizontal="center"/>
    </xf>
    <xf numFmtId="170" fontId="3" fillId="2" borderId="61" xfId="0" applyNumberFormat="1" applyFont="1" applyFill="1" applyBorder="1" applyAlignment="1">
      <alignment horizontal="center"/>
    </xf>
    <xf numFmtId="0" fontId="3" fillId="2" borderId="61" xfId="0" applyFont="1" applyFill="1" applyBorder="1"/>
    <xf numFmtId="170" fontId="3" fillId="2" borderId="63" xfId="0" applyNumberFormat="1" applyFont="1" applyFill="1" applyBorder="1" applyAlignment="1">
      <alignment horizontal="center"/>
    </xf>
    <xf numFmtId="0" fontId="1" fillId="2" borderId="52" xfId="0" applyFont="1" applyFill="1" applyBorder="1"/>
    <xf numFmtId="0" fontId="20" fillId="2" borderId="0" xfId="0" applyFont="1" applyFill="1" applyAlignment="1" applyProtection="1">
      <alignment horizontal="center"/>
    </xf>
    <xf numFmtId="2" fontId="20" fillId="2" borderId="0" xfId="0" applyNumberFormat="1" applyFont="1" applyFill="1" applyAlignment="1" applyProtection="1">
      <alignment horizontal="center"/>
    </xf>
    <xf numFmtId="0" fontId="3" fillId="2" borderId="52" xfId="0" applyFont="1" applyFill="1" applyBorder="1" applyProtection="1"/>
    <xf numFmtId="170" fontId="3" fillId="2" borderId="54" xfId="0" applyNumberFormat="1" applyFont="1" applyFill="1" applyBorder="1" applyAlignment="1" applyProtection="1">
      <alignment horizontal="center"/>
    </xf>
    <xf numFmtId="170" fontId="3" fillId="2" borderId="52" xfId="0" applyNumberFormat="1" applyFont="1" applyFill="1" applyBorder="1" applyAlignment="1" applyProtection="1">
      <alignment horizontal="center"/>
    </xf>
    <xf numFmtId="170" fontId="3" fillId="2" borderId="64" xfId="0" applyNumberFormat="1" applyFont="1" applyFill="1" applyBorder="1" applyAlignment="1" applyProtection="1">
      <alignment horizontal="center"/>
    </xf>
    <xf numFmtId="0" fontId="3" fillId="2" borderId="52" xfId="0" applyFont="1" applyFill="1" applyBorder="1" applyAlignment="1" applyProtection="1">
      <alignment horizontal="left"/>
    </xf>
    <xf numFmtId="170" fontId="3" fillId="2" borderId="53" xfId="0" applyNumberFormat="1" applyFont="1" applyFill="1" applyBorder="1" applyAlignment="1" applyProtection="1">
      <alignment horizontal="center"/>
    </xf>
    <xf numFmtId="170" fontId="3" fillId="2" borderId="52" xfId="0" applyNumberFormat="1" applyFont="1" applyFill="1" applyBorder="1" applyAlignment="1">
      <alignment horizontal="center"/>
    </xf>
    <xf numFmtId="0" fontId="3" fillId="2" borderId="52" xfId="0" applyFont="1" applyFill="1" applyBorder="1"/>
    <xf numFmtId="170" fontId="3" fillId="2" borderId="53" xfId="0" applyNumberFormat="1" applyFont="1" applyFill="1" applyBorder="1" applyAlignment="1">
      <alignment horizontal="center"/>
    </xf>
    <xf numFmtId="0" fontId="15" fillId="3" borderId="0" xfId="0" applyFont="1" applyFill="1" applyBorder="1" applyAlignment="1" applyProtection="1">
      <alignment horizontal="left"/>
    </xf>
    <xf numFmtId="170" fontId="15" fillId="3" borderId="0" xfId="0" applyNumberFormat="1" applyFont="1" applyFill="1" applyBorder="1" applyAlignment="1" applyProtection="1">
      <alignment horizontal="center"/>
    </xf>
    <xf numFmtId="170" fontId="15" fillId="3" borderId="0" xfId="0" applyNumberFormat="1" applyFont="1" applyFill="1" applyBorder="1" applyProtection="1"/>
    <xf numFmtId="170" fontId="15" fillId="3" borderId="65" xfId="0" applyNumberFormat="1" applyFont="1" applyFill="1" applyBorder="1" applyProtection="1"/>
    <xf numFmtId="170" fontId="15" fillId="3" borderId="66" xfId="0" applyNumberFormat="1" applyFont="1" applyFill="1" applyBorder="1" applyProtection="1"/>
    <xf numFmtId="170" fontId="15" fillId="3" borderId="33" xfId="0" applyNumberFormat="1" applyFont="1" applyFill="1" applyBorder="1" applyProtection="1"/>
    <xf numFmtId="0" fontId="15" fillId="3" borderId="52" xfId="0" applyFont="1" applyFill="1" applyBorder="1" applyAlignment="1" applyProtection="1">
      <alignment horizontal="left"/>
    </xf>
    <xf numFmtId="170" fontId="15" fillId="3" borderId="52" xfId="0" applyNumberFormat="1" applyFont="1" applyFill="1" applyBorder="1" applyAlignment="1" applyProtection="1">
      <alignment horizontal="center"/>
    </xf>
    <xf numFmtId="170" fontId="15" fillId="3" borderId="67" xfId="0" applyNumberFormat="1" applyFont="1" applyFill="1" applyBorder="1" applyAlignment="1" applyProtection="1">
      <alignment horizontal="center"/>
    </xf>
    <xf numFmtId="3" fontId="15" fillId="3" borderId="52" xfId="0" applyNumberFormat="1" applyFont="1" applyFill="1" applyBorder="1" applyAlignment="1" applyProtection="1">
      <alignment horizontal="center"/>
    </xf>
    <xf numFmtId="170" fontId="15" fillId="3" borderId="68" xfId="0" applyNumberFormat="1" applyFont="1" applyFill="1" applyBorder="1" applyAlignment="1" applyProtection="1">
      <alignment horizontal="center"/>
    </xf>
    <xf numFmtId="170" fontId="15" fillId="3" borderId="53" xfId="0" applyNumberFormat="1" applyFont="1" applyFill="1" applyBorder="1" applyAlignment="1" applyProtection="1">
      <alignment horizontal="center"/>
    </xf>
    <xf numFmtId="0" fontId="15" fillId="3" borderId="61" xfId="0" applyFont="1" applyFill="1" applyBorder="1" applyAlignment="1" applyProtection="1">
      <alignment horizontal="left"/>
    </xf>
    <xf numFmtId="170" fontId="10" fillId="3" borderId="61" xfId="0" applyNumberFormat="1" applyFont="1" applyFill="1" applyBorder="1" applyProtection="1"/>
    <xf numFmtId="170" fontId="10" fillId="3" borderId="69" xfId="0" applyNumberFormat="1" applyFont="1" applyFill="1" applyBorder="1" applyProtection="1"/>
    <xf numFmtId="0" fontId="10" fillId="3" borderId="61" xfId="0" applyFont="1" applyFill="1" applyBorder="1" applyProtection="1"/>
    <xf numFmtId="170" fontId="15" fillId="3" borderId="61" xfId="0" applyNumberFormat="1" applyFont="1" applyFill="1" applyBorder="1" applyAlignment="1" applyProtection="1">
      <alignment horizontal="center"/>
    </xf>
    <xf numFmtId="170" fontId="15" fillId="3" borderId="61" xfId="0" applyNumberFormat="1" applyFont="1" applyFill="1" applyBorder="1" applyProtection="1"/>
    <xf numFmtId="170" fontId="15" fillId="3" borderId="70" xfId="0" applyNumberFormat="1" applyFont="1" applyFill="1" applyBorder="1" applyProtection="1"/>
    <xf numFmtId="0" fontId="15" fillId="3" borderId="61" xfId="0" applyFont="1" applyFill="1" applyBorder="1" applyProtection="1"/>
    <xf numFmtId="170" fontId="10" fillId="3" borderId="70" xfId="0" applyNumberFormat="1" applyFont="1" applyFill="1" applyBorder="1" applyProtection="1"/>
    <xf numFmtId="170" fontId="10" fillId="3" borderId="63" xfId="0" applyNumberFormat="1" applyFont="1" applyFill="1" applyBorder="1" applyProtection="1"/>
    <xf numFmtId="0" fontId="21" fillId="2" borderId="0" xfId="0" applyFont="1" applyFill="1" applyBorder="1" applyAlignment="1" applyProtection="1"/>
    <xf numFmtId="0" fontId="22" fillId="2" borderId="0" xfId="0" applyFont="1" applyFill="1" applyBorder="1" applyProtection="1"/>
    <xf numFmtId="0" fontId="22" fillId="2" borderId="0" xfId="0" applyFont="1" applyFill="1" applyBorder="1"/>
    <xf numFmtId="170" fontId="1" fillId="2" borderId="0" xfId="0" applyNumberFormat="1" applyFont="1" applyFill="1" applyBorder="1"/>
    <xf numFmtId="0" fontId="1" fillId="2" borderId="41" xfId="0" applyFont="1" applyFill="1" applyBorder="1"/>
    <xf numFmtId="0" fontId="1" fillId="2" borderId="61" xfId="0" applyFont="1" applyFill="1" applyBorder="1"/>
    <xf numFmtId="0" fontId="1" fillId="2" borderId="63" xfId="0" applyFont="1" applyFill="1" applyBorder="1"/>
    <xf numFmtId="170" fontId="3" fillId="2" borderId="0" xfId="0" applyNumberFormat="1" applyFont="1" applyFill="1" applyBorder="1" applyAlignment="1">
      <alignment horizontal="center"/>
    </xf>
    <xf numFmtId="0" fontId="15" fillId="3" borderId="64" xfId="0" applyFont="1" applyFill="1" applyBorder="1" applyAlignment="1" applyProtection="1">
      <alignment horizontal="left"/>
    </xf>
    <xf numFmtId="0" fontId="10" fillId="3" borderId="41" xfId="0" applyFont="1" applyFill="1" applyBorder="1" applyAlignment="1" applyProtection="1">
      <alignment horizontal="left"/>
    </xf>
    <xf numFmtId="0" fontId="1" fillId="2" borderId="29" xfId="0" applyFont="1" applyFill="1" applyBorder="1" applyProtection="1">
      <protection locked="0"/>
    </xf>
    <xf numFmtId="0" fontId="1" fillId="2" borderId="32" xfId="0" applyFont="1" applyFill="1" applyBorder="1" applyProtection="1">
      <protection locked="0"/>
    </xf>
    <xf numFmtId="0" fontId="15" fillId="3" borderId="32" xfId="0" applyFont="1" applyFill="1" applyBorder="1" applyAlignment="1" applyProtection="1">
      <alignment horizontal="left"/>
      <protection locked="0"/>
    </xf>
    <xf numFmtId="0" fontId="15" fillId="3" borderId="0" xfId="0" applyFont="1" applyFill="1" applyBorder="1" applyProtection="1">
      <protection locked="0"/>
    </xf>
    <xf numFmtId="0" fontId="10" fillId="3" borderId="0" xfId="0" applyFont="1" applyFill="1" applyBorder="1" applyAlignment="1" applyProtection="1">
      <alignment horizontal="center"/>
      <protection locked="0"/>
    </xf>
    <xf numFmtId="0" fontId="1" fillId="2" borderId="38" xfId="0" applyFont="1" applyFill="1" applyBorder="1" applyProtection="1">
      <protection locked="0"/>
    </xf>
    <xf numFmtId="0" fontId="1" fillId="2" borderId="39" xfId="0" applyFont="1" applyFill="1" applyBorder="1" applyProtection="1">
      <protection locked="0"/>
    </xf>
    <xf numFmtId="0" fontId="19" fillId="2" borderId="0" xfId="0" applyFont="1" applyFill="1" applyBorder="1" applyProtection="1">
      <protection locked="0"/>
    </xf>
    <xf numFmtId="170" fontId="3" fillId="2" borderId="0" xfId="0" applyNumberFormat="1" applyFont="1" applyFill="1" applyBorder="1" applyAlignment="1" applyProtection="1">
      <alignment horizontal="center"/>
      <protection locked="0"/>
    </xf>
    <xf numFmtId="0" fontId="3" fillId="2" borderId="0" xfId="0" applyFont="1" applyFill="1" applyBorder="1" applyProtection="1">
      <protection locked="0"/>
    </xf>
    <xf numFmtId="170" fontId="4" fillId="2" borderId="0"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0" fillId="3" borderId="42" xfId="0" applyFont="1" applyFill="1" applyBorder="1" applyProtection="1">
      <protection locked="0"/>
    </xf>
    <xf numFmtId="0" fontId="15" fillId="3" borderId="43" xfId="0" applyFont="1" applyFill="1" applyBorder="1" applyProtection="1">
      <protection locked="0"/>
    </xf>
    <xf numFmtId="0" fontId="10" fillId="3" borderId="43" xfId="0" applyFont="1" applyFill="1" applyBorder="1" applyProtection="1">
      <protection locked="0"/>
    </xf>
    <xf numFmtId="0" fontId="10" fillId="3" borderId="42" xfId="0" applyFont="1" applyFill="1" applyBorder="1" applyAlignment="1" applyProtection="1">
      <alignment horizontal="left"/>
      <protection locked="0"/>
    </xf>
    <xf numFmtId="3" fontId="10" fillId="3" borderId="43" xfId="0" applyNumberFormat="1" applyFont="1" applyFill="1" applyBorder="1" applyAlignment="1" applyProtection="1">
      <alignment horizontal="center"/>
      <protection locked="0"/>
    </xf>
    <xf numFmtId="0" fontId="10" fillId="3" borderId="44" xfId="0" applyFont="1" applyFill="1" applyBorder="1" applyProtection="1">
      <protection locked="0"/>
    </xf>
    <xf numFmtId="0" fontId="10" fillId="3" borderId="43" xfId="0" applyFont="1" applyFill="1" applyBorder="1" applyAlignment="1" applyProtection="1">
      <alignment horizontal="left"/>
      <protection locked="0"/>
    </xf>
    <xf numFmtId="10" fontId="10" fillId="3" borderId="44" xfId="0" applyNumberFormat="1" applyFont="1" applyFill="1" applyBorder="1" applyAlignment="1" applyProtection="1">
      <alignment horizontal="center"/>
      <protection locked="0"/>
    </xf>
    <xf numFmtId="4" fontId="3" fillId="2" borderId="0" xfId="0" applyNumberFormat="1" applyFont="1" applyFill="1" applyBorder="1" applyProtection="1">
      <protection locked="0"/>
    </xf>
    <xf numFmtId="39" fontId="3" fillId="2" borderId="0" xfId="0" applyNumberFormat="1" applyFont="1" applyFill="1" applyBorder="1" applyAlignment="1" applyProtection="1">
      <alignment horizontal="left"/>
      <protection locked="0"/>
    </xf>
    <xf numFmtId="0" fontId="8" fillId="2" borderId="0" xfId="0" applyFont="1" applyFill="1" applyBorder="1" applyProtection="1">
      <protection locked="0"/>
    </xf>
    <xf numFmtId="0" fontId="3" fillId="2" borderId="32" xfId="0" applyFont="1" applyFill="1" applyBorder="1" applyProtection="1">
      <protection locked="0"/>
    </xf>
    <xf numFmtId="0" fontId="3" fillId="2" borderId="0" xfId="0" applyFont="1" applyFill="1" applyBorder="1" applyAlignment="1" applyProtection="1">
      <alignment horizontal="left"/>
      <protection locked="0"/>
    </xf>
    <xf numFmtId="0" fontId="8" fillId="3" borderId="72" xfId="0" applyFont="1" applyFill="1" applyBorder="1" applyAlignment="1" applyProtection="1">
      <alignment horizontal="left"/>
      <protection locked="0"/>
    </xf>
    <xf numFmtId="0" fontId="15" fillId="3" borderId="46" xfId="0" applyFont="1" applyFill="1" applyBorder="1" applyProtection="1">
      <protection locked="0"/>
    </xf>
    <xf numFmtId="0" fontId="15" fillId="3" borderId="47" xfId="0" applyFont="1" applyFill="1" applyBorder="1" applyAlignment="1" applyProtection="1">
      <alignment horizontal="center"/>
      <protection locked="0"/>
    </xf>
    <xf numFmtId="0" fontId="15" fillId="3" borderId="45" xfId="0" applyFont="1" applyFill="1" applyBorder="1" applyAlignment="1" applyProtection="1">
      <alignment horizontal="center"/>
      <protection locked="0"/>
    </xf>
    <xf numFmtId="0" fontId="8" fillId="3" borderId="64" xfId="0" applyFont="1" applyFill="1" applyBorder="1" applyAlignment="1" applyProtection="1">
      <alignment horizontal="center"/>
      <protection locked="0"/>
    </xf>
    <xf numFmtId="0" fontId="15" fillId="3" borderId="53" xfId="0" applyFont="1" applyFill="1" applyBorder="1" applyAlignment="1" applyProtection="1">
      <alignment horizontal="left"/>
      <protection locked="0"/>
    </xf>
    <xf numFmtId="0" fontId="15" fillId="3" borderId="54" xfId="0" applyFont="1" applyFill="1" applyBorder="1" applyAlignment="1" applyProtection="1">
      <alignment horizontal="center"/>
      <protection locked="0"/>
    </xf>
    <xf numFmtId="0" fontId="15" fillId="3" borderId="52" xfId="0" applyFont="1" applyFill="1" applyBorder="1" applyAlignment="1" applyProtection="1">
      <alignment horizontal="center"/>
      <protection locked="0"/>
    </xf>
    <xf numFmtId="0" fontId="15" fillId="3" borderId="55" xfId="0" applyFont="1" applyFill="1" applyBorder="1" applyAlignment="1" applyProtection="1">
      <alignment horizontal="center"/>
      <protection locked="0"/>
    </xf>
    <xf numFmtId="0" fontId="15" fillId="3" borderId="56" xfId="0" applyFont="1" applyFill="1" applyBorder="1" applyAlignment="1" applyProtection="1">
      <alignment horizontal="center"/>
      <protection locked="0"/>
    </xf>
    <xf numFmtId="0" fontId="15" fillId="3" borderId="57" xfId="0" applyFont="1" applyFill="1" applyBorder="1" applyAlignment="1" applyProtection="1">
      <alignment horizontal="center"/>
      <protection locked="0"/>
    </xf>
    <xf numFmtId="0" fontId="15" fillId="3" borderId="58" xfId="0" applyFont="1" applyFill="1" applyBorder="1" applyAlignment="1" applyProtection="1">
      <alignment horizontal="center"/>
      <protection locked="0"/>
    </xf>
    <xf numFmtId="0" fontId="15" fillId="3" borderId="59" xfId="0" applyFont="1" applyFill="1" applyBorder="1" applyAlignment="1" applyProtection="1">
      <alignment horizontal="center"/>
      <protection locked="0"/>
    </xf>
    <xf numFmtId="0" fontId="1" fillId="2" borderId="29" xfId="0" applyFont="1" applyFill="1" applyBorder="1" applyProtection="1"/>
    <xf numFmtId="0" fontId="1" fillId="2" borderId="30" xfId="0" applyFont="1" applyFill="1" applyBorder="1" applyProtection="1"/>
    <xf numFmtId="0" fontId="1" fillId="2" borderId="31" xfId="0" applyFont="1" applyFill="1" applyBorder="1" applyProtection="1"/>
    <xf numFmtId="0" fontId="9" fillId="2" borderId="0" xfId="0" applyFont="1" applyFill="1" applyBorder="1" applyProtection="1"/>
    <xf numFmtId="0" fontId="0" fillId="2" borderId="0" xfId="0" applyFill="1" applyProtection="1">
      <protection locked="0"/>
    </xf>
    <xf numFmtId="0" fontId="0" fillId="2" borderId="0" xfId="0" applyFill="1" applyProtection="1"/>
    <xf numFmtId="0" fontId="9" fillId="2" borderId="0" xfId="0" applyFont="1" applyFill="1" applyProtection="1">
      <protection locked="0"/>
    </xf>
    <xf numFmtId="0" fontId="0" fillId="2" borderId="73" xfId="0" applyFill="1" applyBorder="1" applyAlignment="1" applyProtection="1">
      <protection locked="0"/>
    </xf>
    <xf numFmtId="0" fontId="23" fillId="2" borderId="0" xfId="0" applyFont="1" applyFill="1" applyAlignment="1" applyProtection="1">
      <protection locked="0"/>
    </xf>
    <xf numFmtId="0" fontId="0" fillId="2" borderId="0" xfId="0" applyFill="1" applyAlignment="1" applyProtection="1">
      <protection locked="0"/>
    </xf>
    <xf numFmtId="0" fontId="24" fillId="2" borderId="0" xfId="0" applyFont="1" applyFill="1" applyAlignment="1" applyProtection="1">
      <protection locked="0"/>
    </xf>
    <xf numFmtId="0" fontId="25" fillId="2" borderId="0" xfId="0" applyFont="1" applyFill="1" applyAlignment="1" applyProtection="1">
      <protection locked="0"/>
    </xf>
    <xf numFmtId="0" fontId="24" fillId="2" borderId="0" xfId="0" applyFont="1" applyFill="1" applyProtection="1">
      <protection locked="0"/>
    </xf>
    <xf numFmtId="0" fontId="26" fillId="2" borderId="0" xfId="0" applyFont="1" applyFill="1" applyProtection="1">
      <protection locked="0"/>
    </xf>
    <xf numFmtId="0" fontId="24" fillId="0" borderId="0" xfId="0" applyFont="1" applyProtection="1">
      <protection locked="0"/>
    </xf>
    <xf numFmtId="0" fontId="28" fillId="2" borderId="0" xfId="0" applyFont="1" applyFill="1" applyProtection="1">
      <protection locked="0"/>
    </xf>
    <xf numFmtId="0" fontId="4" fillId="2" borderId="0" xfId="0" applyFont="1" applyFill="1" applyProtection="1">
      <protection locked="0"/>
    </xf>
    <xf numFmtId="0" fontId="19" fillId="2" borderId="0" xfId="0" applyFont="1" applyFill="1" applyProtection="1">
      <protection locked="0"/>
    </xf>
    <xf numFmtId="0" fontId="29" fillId="2" borderId="0" xfId="0" applyFont="1" applyFill="1" applyProtection="1">
      <protection locked="0"/>
    </xf>
    <xf numFmtId="0" fontId="31" fillId="2" borderId="0" xfId="0" applyFont="1" applyFill="1" applyProtection="1">
      <protection locked="0"/>
    </xf>
    <xf numFmtId="0" fontId="33" fillId="2" borderId="0" xfId="0" applyFont="1" applyFill="1" applyProtection="1">
      <protection locked="0"/>
    </xf>
    <xf numFmtId="0" fontId="24" fillId="2" borderId="0" xfId="0" applyFont="1" applyFill="1" applyProtection="1"/>
    <xf numFmtId="0" fontId="3" fillId="4" borderId="1"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3" xfId="0" applyFont="1" applyFill="1" applyBorder="1" applyAlignment="1" applyProtection="1">
      <alignment horizontal="center"/>
    </xf>
    <xf numFmtId="164" fontId="3" fillId="4" borderId="8" xfId="0" applyNumberFormat="1" applyFont="1" applyFill="1" applyBorder="1" applyAlignment="1" applyProtection="1">
      <alignment horizontal="center"/>
    </xf>
    <xf numFmtId="164" fontId="3" fillId="4" borderId="3" xfId="0" applyNumberFormat="1" applyFont="1" applyFill="1" applyBorder="1" applyAlignment="1" applyProtection="1">
      <alignment horizontal="center"/>
    </xf>
    <xf numFmtId="164" fontId="3" fillId="4" borderId="9" xfId="0" applyNumberFormat="1" applyFont="1" applyFill="1" applyBorder="1" applyAlignment="1" applyProtection="1">
      <alignment horizontal="center"/>
    </xf>
    <xf numFmtId="0" fontId="27" fillId="13" borderId="0" xfId="0" applyFont="1" applyFill="1" applyBorder="1" applyAlignment="1" applyProtection="1">
      <alignment horizontal="center"/>
      <protection locked="0"/>
    </xf>
    <xf numFmtId="0" fontId="13" fillId="2" borderId="0" xfId="1" applyFont="1" applyFill="1" applyBorder="1" applyAlignment="1" applyProtection="1">
      <alignment horizontal="right" vertical="justify"/>
    </xf>
    <xf numFmtId="0" fontId="14" fillId="2" borderId="0" xfId="0" applyFont="1" applyFill="1" applyBorder="1" applyAlignment="1" applyProtection="1">
      <alignment horizontal="right" vertical="justify"/>
    </xf>
    <xf numFmtId="0" fontId="14" fillId="2" borderId="33" xfId="0" applyFont="1" applyFill="1" applyBorder="1" applyAlignment="1" applyProtection="1">
      <alignment horizontal="right" vertical="justify"/>
    </xf>
    <xf numFmtId="0" fontId="10" fillId="3" borderId="8" xfId="0" quotePrefix="1" applyFont="1" applyFill="1" applyBorder="1" applyAlignment="1" applyProtection="1">
      <alignment horizontal="center"/>
      <protection locked="0"/>
    </xf>
    <xf numFmtId="0" fontId="10" fillId="3" borderId="3" xfId="0" quotePrefix="1" applyFont="1" applyFill="1" applyBorder="1" applyAlignment="1" applyProtection="1">
      <alignment horizontal="center"/>
      <protection locked="0"/>
    </xf>
    <xf numFmtId="0" fontId="10" fillId="3" borderId="9" xfId="0" quotePrefix="1" applyFont="1" applyFill="1" applyBorder="1" applyAlignment="1" applyProtection="1">
      <alignment horizontal="center"/>
      <protection locked="0"/>
    </xf>
    <xf numFmtId="0" fontId="10" fillId="3" borderId="71" xfId="0" quotePrefix="1" applyFont="1" applyFill="1" applyBorder="1" applyAlignment="1" applyProtection="1">
      <alignment horizontal="center"/>
      <protection locked="0"/>
    </xf>
    <xf numFmtId="164" fontId="10" fillId="3" borderId="1" xfId="0" applyNumberFormat="1" applyFont="1" applyFill="1" applyBorder="1" applyAlignment="1" applyProtection="1">
      <alignment horizontal="center"/>
      <protection hidden="1"/>
    </xf>
    <xf numFmtId="164" fontId="10" fillId="3" borderId="2" xfId="0" applyNumberFormat="1" applyFont="1" applyFill="1" applyBorder="1" applyAlignment="1" applyProtection="1">
      <alignment horizontal="center"/>
      <protection hidden="1"/>
    </xf>
    <xf numFmtId="164" fontId="10" fillId="3" borderId="6" xfId="0" applyNumberFormat="1" applyFont="1" applyFill="1" applyBorder="1" applyAlignment="1" applyProtection="1">
      <alignment horizontal="center"/>
      <protection hidden="1"/>
    </xf>
    <xf numFmtId="0" fontId="18" fillId="2" borderId="37" xfId="0" applyFont="1" applyFill="1" applyBorder="1" applyAlignment="1" applyProtection="1">
      <alignment horizontal="center" vertical="center" textRotation="90"/>
      <protection locked="0"/>
    </xf>
    <xf numFmtId="0" fontId="18" fillId="2" borderId="32" xfId="0" applyFont="1" applyFill="1" applyBorder="1" applyAlignment="1" applyProtection="1">
      <alignment horizontal="center" vertical="center" textRotation="90"/>
      <protection locked="0"/>
    </xf>
    <xf numFmtId="0" fontId="18" fillId="2" borderId="41" xfId="0" applyFont="1" applyFill="1" applyBorder="1" applyAlignment="1" applyProtection="1">
      <alignment horizontal="center" vertical="center" textRotation="90"/>
      <protection locked="0"/>
    </xf>
    <xf numFmtId="164" fontId="10" fillId="3" borderId="8" xfId="0" applyNumberFormat="1" applyFont="1" applyFill="1" applyBorder="1" applyAlignment="1" applyProtection="1">
      <alignment horizontal="center"/>
    </xf>
    <xf numFmtId="164" fontId="10" fillId="3" borderId="3" xfId="0" applyNumberFormat="1" applyFont="1" applyFill="1" applyBorder="1" applyAlignment="1" applyProtection="1">
      <alignment horizontal="center"/>
    </xf>
    <xf numFmtId="164" fontId="10" fillId="3" borderId="9" xfId="0" applyNumberFormat="1" applyFont="1" applyFill="1" applyBorder="1" applyAlignment="1" applyProtection="1">
      <alignment horizontal="center"/>
    </xf>
    <xf numFmtId="0" fontId="15" fillId="3" borderId="48" xfId="0" quotePrefix="1" applyFont="1" applyFill="1" applyBorder="1" applyAlignment="1" applyProtection="1">
      <alignment horizontal="center"/>
      <protection locked="0"/>
    </xf>
    <xf numFmtId="0" fontId="15" fillId="3" borderId="49" xfId="0" quotePrefix="1" applyFont="1" applyFill="1" applyBorder="1" applyAlignment="1" applyProtection="1">
      <alignment horizontal="center"/>
      <protection locked="0"/>
    </xf>
    <xf numFmtId="0" fontId="15" fillId="3" borderId="50" xfId="0" quotePrefix="1" applyFont="1" applyFill="1" applyBorder="1" applyAlignment="1" applyProtection="1">
      <alignment horizontal="center"/>
      <protection locked="0"/>
    </xf>
    <xf numFmtId="0" fontId="15" fillId="3" borderId="51" xfId="0" quotePrefix="1" applyFont="1" applyFill="1" applyBorder="1" applyAlignment="1" applyProtection="1">
      <alignment horizontal="center"/>
      <protection locked="0"/>
    </xf>
    <xf numFmtId="0" fontId="15" fillId="3" borderId="32" xfId="0" applyFont="1" applyFill="1" applyBorder="1" applyAlignment="1" applyProtection="1">
      <alignment horizontal="center" vertical="center" textRotation="90"/>
    </xf>
    <xf numFmtId="0" fontId="15" fillId="3" borderId="64" xfId="0" applyFont="1" applyFill="1" applyBorder="1" applyAlignment="1" applyProtection="1">
      <alignment horizontal="center" vertical="center" textRotation="90"/>
    </xf>
    <xf numFmtId="0" fontId="15" fillId="3" borderId="72" xfId="0" applyFont="1" applyFill="1" applyBorder="1" applyAlignment="1" applyProtection="1">
      <alignment horizontal="center" vertical="center" textRotation="90"/>
    </xf>
    <xf numFmtId="0" fontId="15" fillId="12" borderId="29" xfId="0" applyFont="1" applyFill="1" applyBorder="1" applyAlignment="1" applyProtection="1">
      <alignment horizontal="center" vertical="center" textRotation="90"/>
      <protection locked="0"/>
    </xf>
    <xf numFmtId="0" fontId="15" fillId="12" borderId="32" xfId="0" applyFont="1" applyFill="1" applyBorder="1" applyAlignment="1" applyProtection="1">
      <alignment horizontal="center" vertical="center" textRotation="90"/>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baseline="0"/>
              <a:t>Low Thrust Severity Curves </a:t>
            </a:r>
            <a:endParaRPr lang="en-US" sz="1000" b="1"/>
          </a:p>
        </c:rich>
      </c:tx>
      <c:layout>
        <c:manualLayout>
          <c:xMode val="edge"/>
          <c:yMode val="edge"/>
          <c:x val="0.28929532714140499"/>
          <c:y val="2.9716523088802488E-2"/>
        </c:manualLayout>
      </c:layout>
      <c:overlay val="1"/>
    </c:title>
    <c:autoTitleDeleted val="0"/>
    <c:plotArea>
      <c:layout>
        <c:manualLayout>
          <c:layoutTarget val="inner"/>
          <c:xMode val="edge"/>
          <c:yMode val="edge"/>
          <c:x val="0.1024645751056828"/>
          <c:y val="0.10989010989011012"/>
          <c:w val="0.88122157627492825"/>
          <c:h val="0.70473710017017765"/>
        </c:manualLayout>
      </c:layout>
      <c:lineChart>
        <c:grouping val="standard"/>
        <c:varyColors val="0"/>
        <c:ser>
          <c:idx val="0"/>
          <c:order val="0"/>
          <c:tx>
            <c:v>Severity</c:v>
          </c:tx>
          <c:spPr>
            <a:ln w="25400"/>
          </c:spPr>
          <c:marker>
            <c:symbol val="diamond"/>
            <c:size val="5"/>
          </c:marker>
          <c:cat>
            <c:numLit>
              <c:formatCode>General</c:formatCode>
              <c:ptCount val="11"/>
              <c:pt idx="0">
                <c:v>1</c:v>
              </c:pt>
              <c:pt idx="1">
                <c:v>1.25</c:v>
              </c:pt>
              <c:pt idx="2">
                <c:v>1.5</c:v>
              </c:pt>
              <c:pt idx="3">
                <c:v>1.75</c:v>
              </c:pt>
              <c:pt idx="4">
                <c:v>2</c:v>
              </c:pt>
              <c:pt idx="5">
                <c:v>2.5</c:v>
              </c:pt>
              <c:pt idx="6">
                <c:v>3</c:v>
              </c:pt>
              <c:pt idx="7">
                <c:v>3.5</c:v>
              </c:pt>
              <c:pt idx="8">
                <c:v>4</c:v>
              </c:pt>
              <c:pt idx="9">
                <c:v>4.5</c:v>
              </c:pt>
              <c:pt idx="10">
                <c:v>5</c:v>
              </c:pt>
            </c:numLit>
          </c:cat>
          <c:val>
            <c:numLit>
              <c:formatCode>General</c:formatCode>
              <c:ptCount val="11"/>
              <c:pt idx="0">
                <c:v>1.6</c:v>
              </c:pt>
              <c:pt idx="1">
                <c:v>1.35</c:v>
              </c:pt>
              <c:pt idx="2">
                <c:v>1.17</c:v>
              </c:pt>
              <c:pt idx="3">
                <c:v>1.07</c:v>
              </c:pt>
              <c:pt idx="4">
                <c:v>1</c:v>
              </c:pt>
              <c:pt idx="5">
                <c:v>0.94499999999999995</c:v>
              </c:pt>
              <c:pt idx="6">
                <c:v>0.90300000000000002</c:v>
              </c:pt>
              <c:pt idx="7">
                <c:v>0.876</c:v>
              </c:pt>
              <c:pt idx="8">
                <c:v>0.86</c:v>
              </c:pt>
              <c:pt idx="9">
                <c:v>0.85</c:v>
              </c:pt>
              <c:pt idx="10">
                <c:v>0.84</c:v>
              </c:pt>
            </c:numLit>
          </c:val>
          <c:smooth val="0"/>
        </c:ser>
        <c:ser>
          <c:idx val="1"/>
          <c:order val="1"/>
          <c:tx>
            <c:v>T&amp;M</c:v>
          </c:tx>
          <c:spPr>
            <a:ln w="25400"/>
          </c:spPr>
          <c:marker>
            <c:symbol val="square"/>
            <c:size val="5"/>
            <c:spPr>
              <a:ln w="6350"/>
            </c:spPr>
          </c:marker>
          <c:cat>
            <c:numLit>
              <c:formatCode>General</c:formatCode>
              <c:ptCount val="11"/>
              <c:pt idx="0">
                <c:v>1</c:v>
              </c:pt>
              <c:pt idx="1">
                <c:v>1.25</c:v>
              </c:pt>
              <c:pt idx="2">
                <c:v>1.5</c:v>
              </c:pt>
              <c:pt idx="3">
                <c:v>1.75</c:v>
              </c:pt>
              <c:pt idx="4">
                <c:v>2</c:v>
              </c:pt>
              <c:pt idx="5">
                <c:v>2.5</c:v>
              </c:pt>
              <c:pt idx="6">
                <c:v>3</c:v>
              </c:pt>
              <c:pt idx="7">
                <c:v>3.5</c:v>
              </c:pt>
              <c:pt idx="8">
                <c:v>4</c:v>
              </c:pt>
              <c:pt idx="9">
                <c:v>4.5</c:v>
              </c:pt>
              <c:pt idx="10">
                <c:v>5</c:v>
              </c:pt>
            </c:numLit>
          </c:cat>
          <c:val>
            <c:numLit>
              <c:formatCode>General</c:formatCode>
              <c:ptCount val="11"/>
              <c:pt idx="0">
                <c:v>0.95</c:v>
              </c:pt>
              <c:pt idx="1">
                <c:v>0.96</c:v>
              </c:pt>
              <c:pt idx="2">
                <c:v>0.97</c:v>
              </c:pt>
              <c:pt idx="3">
                <c:v>0.98</c:v>
              </c:pt>
              <c:pt idx="4">
                <c:v>1</c:v>
              </c:pt>
              <c:pt idx="5">
                <c:v>1.03</c:v>
              </c:pt>
              <c:pt idx="6">
                <c:v>1.05</c:v>
              </c:pt>
              <c:pt idx="7">
                <c:v>1.07</c:v>
              </c:pt>
              <c:pt idx="8">
                <c:v>1.075</c:v>
              </c:pt>
              <c:pt idx="9">
                <c:v>1.08</c:v>
              </c:pt>
              <c:pt idx="10">
                <c:v>1.085</c:v>
              </c:pt>
            </c:numLit>
          </c:val>
          <c:smooth val="0"/>
        </c:ser>
        <c:dLbls>
          <c:showLegendKey val="0"/>
          <c:showVal val="0"/>
          <c:showCatName val="0"/>
          <c:showSerName val="0"/>
          <c:showPercent val="0"/>
          <c:showBubbleSize val="0"/>
        </c:dLbls>
        <c:marker val="1"/>
        <c:smooth val="0"/>
        <c:axId val="56885248"/>
        <c:axId val="162605312"/>
      </c:lineChart>
      <c:catAx>
        <c:axId val="56885248"/>
        <c:scaling>
          <c:orientation val="minMax"/>
        </c:scaling>
        <c:delete val="0"/>
        <c:axPos val="b"/>
        <c:numFmt formatCode="0.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162605312"/>
        <c:crosses val="autoZero"/>
        <c:auto val="1"/>
        <c:lblAlgn val="ctr"/>
        <c:lblOffset val="100"/>
        <c:tickLblSkip val="1"/>
        <c:noMultiLvlLbl val="0"/>
      </c:catAx>
      <c:valAx>
        <c:axId val="162605312"/>
        <c:scaling>
          <c:orientation val="minMax"/>
        </c:scaling>
        <c:delete val="0"/>
        <c:axPos val="l"/>
        <c:majorGridlines>
          <c:spPr>
            <a:ln>
              <a:solidFill>
                <a:schemeClr val="bg1">
                  <a:lumMod val="85000"/>
                </a:schemeClr>
              </a:solidFill>
              <a:prstDash val="sysDash"/>
            </a:ln>
          </c:spPr>
        </c:majorGridlines>
        <c:numFmt formatCode="0.0" sourceLinked="0"/>
        <c:majorTickMark val="out"/>
        <c:minorTickMark val="none"/>
        <c:tickLblPos val="nextTo"/>
        <c:txPr>
          <a:bodyPr/>
          <a:lstStyle/>
          <a:p>
            <a:pPr>
              <a:defRPr sz="700">
                <a:solidFill>
                  <a:schemeClr val="tx1">
                    <a:lumMod val="65000"/>
                    <a:lumOff val="35000"/>
                  </a:schemeClr>
                </a:solidFill>
              </a:defRPr>
            </a:pPr>
            <a:endParaRPr lang="en-US"/>
          </a:p>
        </c:txPr>
        <c:crossAx val="56885248"/>
        <c:crosses val="autoZero"/>
        <c:crossBetween val="between"/>
      </c:valAx>
    </c:plotArea>
    <c:legend>
      <c:legendPos val="t"/>
      <c:layout>
        <c:manualLayout>
          <c:xMode val="edge"/>
          <c:yMode val="edge"/>
          <c:x val="0.3010285291199869"/>
          <c:y val="0.11886609235520995"/>
          <c:w val="0.52670947934107437"/>
          <c:h val="7.7596393459245072E-2"/>
        </c:manualLayout>
      </c:layout>
      <c:overlay val="0"/>
      <c:txPr>
        <a:bodyPr/>
        <a:lstStyle/>
        <a:p>
          <a:pPr>
            <a:defRPr sz="800"/>
          </a:pPr>
          <a:endParaRPr lang="en-US"/>
        </a:p>
      </c:txPr>
    </c:legend>
    <c:plotVisOnly val="1"/>
    <c:dispBlanksAs val="gap"/>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baseline="0"/>
              <a:t>High Thrust Severity Curves </a:t>
            </a:r>
            <a:endParaRPr lang="en-US" sz="1000" b="1"/>
          </a:p>
        </c:rich>
      </c:tx>
      <c:layout>
        <c:manualLayout>
          <c:xMode val="edge"/>
          <c:yMode val="edge"/>
          <c:x val="0.23144667296216731"/>
          <c:y val="2.9846139625098019E-2"/>
        </c:manualLayout>
      </c:layout>
      <c:overlay val="1"/>
    </c:title>
    <c:autoTitleDeleted val="0"/>
    <c:plotArea>
      <c:layout>
        <c:manualLayout>
          <c:layoutTarget val="inner"/>
          <c:xMode val="edge"/>
          <c:yMode val="edge"/>
          <c:x val="0.10246457510568285"/>
          <c:y val="0.10989010989011012"/>
          <c:w val="0.88122157627492825"/>
          <c:h val="0.70473710017017765"/>
        </c:manualLayout>
      </c:layout>
      <c:lineChart>
        <c:grouping val="standard"/>
        <c:varyColors val="0"/>
        <c:ser>
          <c:idx val="0"/>
          <c:order val="0"/>
          <c:tx>
            <c:v>Severity</c:v>
          </c:tx>
          <c:spPr>
            <a:ln w="25400"/>
          </c:spPr>
          <c:marker>
            <c:symbol val="diamond"/>
            <c:size val="5"/>
          </c:marker>
          <c:cat>
            <c:numLit>
              <c:formatCode>General</c:formatCode>
              <c:ptCount val="11"/>
              <c:pt idx="0">
                <c:v>1</c:v>
              </c:pt>
              <c:pt idx="1">
                <c:v>1.25</c:v>
              </c:pt>
              <c:pt idx="2">
                <c:v>1.5</c:v>
              </c:pt>
              <c:pt idx="3">
                <c:v>1.75</c:v>
              </c:pt>
              <c:pt idx="4">
                <c:v>2</c:v>
              </c:pt>
              <c:pt idx="5">
                <c:v>2.5</c:v>
              </c:pt>
              <c:pt idx="6">
                <c:v>3</c:v>
              </c:pt>
              <c:pt idx="7">
                <c:v>3.5</c:v>
              </c:pt>
              <c:pt idx="8">
                <c:v>4</c:v>
              </c:pt>
              <c:pt idx="9">
                <c:v>4.5</c:v>
              </c:pt>
              <c:pt idx="10">
                <c:v>5</c:v>
              </c:pt>
            </c:numLit>
          </c:cat>
          <c:val>
            <c:numLit>
              <c:formatCode>General</c:formatCode>
              <c:ptCount val="11"/>
              <c:pt idx="0">
                <c:v>1.6419999999999999</c:v>
              </c:pt>
              <c:pt idx="1">
                <c:v>1.365</c:v>
              </c:pt>
              <c:pt idx="2">
                <c:v>1.175</c:v>
              </c:pt>
              <c:pt idx="3">
                <c:v>1.0725</c:v>
              </c:pt>
              <c:pt idx="4">
                <c:v>1</c:v>
              </c:pt>
              <c:pt idx="5">
                <c:v>0.94499999999999995</c:v>
              </c:pt>
              <c:pt idx="6">
                <c:v>0.90300000000000002</c:v>
              </c:pt>
              <c:pt idx="7">
                <c:v>0.876</c:v>
              </c:pt>
              <c:pt idx="8">
                <c:v>0.86</c:v>
              </c:pt>
              <c:pt idx="9">
                <c:v>0.85</c:v>
              </c:pt>
              <c:pt idx="10">
                <c:v>0.84</c:v>
              </c:pt>
            </c:numLit>
          </c:val>
          <c:smooth val="0"/>
        </c:ser>
        <c:ser>
          <c:idx val="1"/>
          <c:order val="1"/>
          <c:tx>
            <c:v>T&amp;M</c:v>
          </c:tx>
          <c:spPr>
            <a:ln w="25400"/>
          </c:spPr>
          <c:marker>
            <c:symbol val="square"/>
            <c:size val="5"/>
            <c:spPr>
              <a:ln w="6350"/>
            </c:spPr>
          </c:marker>
          <c:cat>
            <c:numLit>
              <c:formatCode>General</c:formatCode>
              <c:ptCount val="11"/>
              <c:pt idx="0">
                <c:v>1</c:v>
              </c:pt>
              <c:pt idx="1">
                <c:v>1.25</c:v>
              </c:pt>
              <c:pt idx="2">
                <c:v>1.5</c:v>
              </c:pt>
              <c:pt idx="3">
                <c:v>1.75</c:v>
              </c:pt>
              <c:pt idx="4">
                <c:v>2</c:v>
              </c:pt>
              <c:pt idx="5">
                <c:v>2.5</c:v>
              </c:pt>
              <c:pt idx="6">
                <c:v>3</c:v>
              </c:pt>
              <c:pt idx="7">
                <c:v>3.5</c:v>
              </c:pt>
              <c:pt idx="8">
                <c:v>4</c:v>
              </c:pt>
              <c:pt idx="9">
                <c:v>4.5</c:v>
              </c:pt>
              <c:pt idx="10">
                <c:v>5</c:v>
              </c:pt>
            </c:numLit>
          </c:cat>
          <c:val>
            <c:numLit>
              <c:formatCode>General</c:formatCode>
              <c:ptCount val="11"/>
              <c:pt idx="0">
                <c:v>0.97</c:v>
              </c:pt>
              <c:pt idx="1">
                <c:v>0.97499999999999998</c:v>
              </c:pt>
              <c:pt idx="2">
                <c:v>0.98</c:v>
              </c:pt>
              <c:pt idx="3">
                <c:v>0.99</c:v>
              </c:pt>
              <c:pt idx="4">
                <c:v>1</c:v>
              </c:pt>
              <c:pt idx="5">
                <c:v>1.02</c:v>
              </c:pt>
              <c:pt idx="6">
                <c:v>1.05</c:v>
              </c:pt>
              <c:pt idx="7">
                <c:v>1.0649999999999999</c:v>
              </c:pt>
              <c:pt idx="8">
                <c:v>1.075</c:v>
              </c:pt>
              <c:pt idx="9">
                <c:v>1.08</c:v>
              </c:pt>
              <c:pt idx="10">
                <c:v>1.085</c:v>
              </c:pt>
            </c:numLit>
          </c:val>
          <c:smooth val="0"/>
        </c:ser>
        <c:dLbls>
          <c:showLegendKey val="0"/>
          <c:showVal val="0"/>
          <c:showCatName val="0"/>
          <c:showSerName val="0"/>
          <c:showPercent val="0"/>
          <c:showBubbleSize val="0"/>
        </c:dLbls>
        <c:marker val="1"/>
        <c:smooth val="0"/>
        <c:axId val="56886272"/>
        <c:axId val="162609920"/>
      </c:lineChart>
      <c:catAx>
        <c:axId val="56886272"/>
        <c:scaling>
          <c:orientation val="minMax"/>
        </c:scaling>
        <c:delete val="0"/>
        <c:axPos val="b"/>
        <c:numFmt formatCode="0.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162609920"/>
        <c:crosses val="autoZero"/>
        <c:auto val="1"/>
        <c:lblAlgn val="ctr"/>
        <c:lblOffset val="100"/>
        <c:tickLblSkip val="1"/>
        <c:noMultiLvlLbl val="0"/>
      </c:catAx>
      <c:valAx>
        <c:axId val="162609920"/>
        <c:scaling>
          <c:orientation val="minMax"/>
        </c:scaling>
        <c:delete val="0"/>
        <c:axPos val="l"/>
        <c:majorGridlines>
          <c:spPr>
            <a:ln>
              <a:solidFill>
                <a:schemeClr val="bg1">
                  <a:lumMod val="85000"/>
                </a:schemeClr>
              </a:solidFill>
              <a:prstDash val="sysDash"/>
            </a:ln>
          </c:spPr>
        </c:majorGridlines>
        <c:numFmt formatCode="0.0" sourceLinked="0"/>
        <c:majorTickMark val="out"/>
        <c:minorTickMark val="none"/>
        <c:tickLblPos val="nextTo"/>
        <c:txPr>
          <a:bodyPr/>
          <a:lstStyle/>
          <a:p>
            <a:pPr>
              <a:defRPr sz="700">
                <a:solidFill>
                  <a:schemeClr val="tx1">
                    <a:lumMod val="65000"/>
                    <a:lumOff val="35000"/>
                  </a:schemeClr>
                </a:solidFill>
              </a:defRPr>
            </a:pPr>
            <a:endParaRPr lang="en-US"/>
          </a:p>
        </c:txPr>
        <c:crossAx val="56886272"/>
        <c:crosses val="autoZero"/>
        <c:crossBetween val="between"/>
      </c:valAx>
    </c:plotArea>
    <c:legend>
      <c:legendPos val="t"/>
      <c:layout>
        <c:manualLayout>
          <c:xMode val="edge"/>
          <c:yMode val="edge"/>
          <c:x val="0.22791570262318125"/>
          <c:y val="0.10943584529202607"/>
          <c:w val="0.49526399028776386"/>
          <c:h val="7.7934850812386852E-2"/>
        </c:manualLayout>
      </c:layout>
      <c:overlay val="0"/>
      <c:txPr>
        <a:bodyPr/>
        <a:lstStyle/>
        <a:p>
          <a:pPr>
            <a:defRPr sz="800"/>
          </a:pPr>
          <a:endParaRPr lang="en-US"/>
        </a:p>
      </c:txPr>
    </c:legend>
    <c:plotVisOnly val="1"/>
    <c:dispBlanksAs val="gap"/>
    <c:showDLblsOverMax val="0"/>
  </c:chart>
  <c:spPr>
    <a:solidFill>
      <a:sysClr val="window" lastClr="FFFFFF"/>
    </a:solidFill>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Derate</a:t>
            </a:r>
            <a:r>
              <a:rPr lang="en-US" sz="1100" baseline="0"/>
              <a:t> Factors</a:t>
            </a:r>
            <a:endParaRPr lang="en-US" sz="1100"/>
          </a:p>
        </c:rich>
      </c:tx>
      <c:layout/>
      <c:overlay val="1"/>
    </c:title>
    <c:autoTitleDeleted val="0"/>
    <c:plotArea>
      <c:layout>
        <c:manualLayout>
          <c:layoutTarget val="inner"/>
          <c:xMode val="edge"/>
          <c:yMode val="edge"/>
          <c:x val="4.8378767468881208E-2"/>
          <c:y val="0.10989010989011012"/>
          <c:w val="0.93530734584102915"/>
          <c:h val="0.70473710017017765"/>
        </c:manualLayout>
      </c:layout>
      <c:lineChart>
        <c:grouping val="standard"/>
        <c:varyColors val="0"/>
        <c:ser>
          <c:idx val="0"/>
          <c:order val="0"/>
          <c:tx>
            <c:v>Low Thrust</c:v>
          </c:tx>
          <c:spPr>
            <a:ln w="25400"/>
          </c:spPr>
          <c:marker>
            <c:symbol val="diamond"/>
            <c:size val="5"/>
          </c:marker>
          <c:cat>
            <c:numLit>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Lit>
          </c:cat>
          <c:val>
            <c:numLit>
              <c:formatCode>General</c:formatCode>
              <c:ptCount val="21"/>
              <c:pt idx="0">
                <c:v>1.0249999999999999</c:v>
              </c:pt>
              <c:pt idx="1">
                <c:v>1.0225</c:v>
              </c:pt>
              <c:pt idx="2">
                <c:v>1.02</c:v>
              </c:pt>
              <c:pt idx="3">
                <c:v>1.0175000000000001</c:v>
              </c:pt>
              <c:pt idx="4">
                <c:v>1.0149999999999999</c:v>
              </c:pt>
              <c:pt idx="5">
                <c:v>1.0125</c:v>
              </c:pt>
              <c:pt idx="6">
                <c:v>1.01</c:v>
              </c:pt>
              <c:pt idx="7">
                <c:v>1.0075000000000001</c:v>
              </c:pt>
              <c:pt idx="8">
                <c:v>1.0049999999999999</c:v>
              </c:pt>
              <c:pt idx="9">
                <c:v>1.0024999999999999</c:v>
              </c:pt>
              <c:pt idx="10">
                <c:v>1</c:v>
              </c:pt>
              <c:pt idx="11">
                <c:v>1</c:v>
              </c:pt>
              <c:pt idx="12">
                <c:v>1</c:v>
              </c:pt>
              <c:pt idx="13">
                <c:v>1</c:v>
              </c:pt>
              <c:pt idx="14">
                <c:v>1</c:v>
              </c:pt>
              <c:pt idx="15">
                <c:v>1</c:v>
              </c:pt>
              <c:pt idx="16">
                <c:v>1</c:v>
              </c:pt>
              <c:pt idx="17">
                <c:v>1</c:v>
              </c:pt>
              <c:pt idx="18">
                <c:v>1</c:v>
              </c:pt>
              <c:pt idx="19">
                <c:v>1</c:v>
              </c:pt>
              <c:pt idx="20">
                <c:v>1</c:v>
              </c:pt>
            </c:numLit>
          </c:val>
          <c:smooth val="0"/>
        </c:ser>
        <c:ser>
          <c:idx val="2"/>
          <c:order val="1"/>
          <c:tx>
            <c:v>High Thrust</c:v>
          </c:tx>
          <c:cat>
            <c:numLit>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Lit>
          </c:cat>
          <c:val>
            <c:numLit>
              <c:formatCode>General</c:formatCode>
              <c:ptCount val="21"/>
              <c:pt idx="0">
                <c:v>1.149999999999999</c:v>
              </c:pt>
              <c:pt idx="1">
                <c:v>1.1349999999999991</c:v>
              </c:pt>
              <c:pt idx="2">
                <c:v>1.1199999999999992</c:v>
              </c:pt>
              <c:pt idx="3">
                <c:v>1.1049999999999993</c:v>
              </c:pt>
              <c:pt idx="4">
                <c:v>1.0899999999999994</c:v>
              </c:pt>
              <c:pt idx="5">
                <c:v>1.0749999999999995</c:v>
              </c:pt>
              <c:pt idx="6">
                <c:v>1.0599999999999996</c:v>
              </c:pt>
              <c:pt idx="7">
                <c:v>1.0449999999999997</c:v>
              </c:pt>
              <c:pt idx="8">
                <c:v>1.0299999999999998</c:v>
              </c:pt>
              <c:pt idx="9">
                <c:v>1.0149999999999999</c:v>
              </c:pt>
              <c:pt idx="10">
                <c:v>1</c:v>
              </c:pt>
              <c:pt idx="11">
                <c:v>0.99</c:v>
              </c:pt>
              <c:pt idx="12">
                <c:v>0.98</c:v>
              </c:pt>
              <c:pt idx="13">
                <c:v>0.97</c:v>
              </c:pt>
              <c:pt idx="14">
                <c:v>0.96</c:v>
              </c:pt>
              <c:pt idx="15">
                <c:v>0.95</c:v>
              </c:pt>
              <c:pt idx="16">
                <c:v>0.94</c:v>
              </c:pt>
              <c:pt idx="17">
                <c:v>0.92999999999999994</c:v>
              </c:pt>
              <c:pt idx="18">
                <c:v>0.91999999999999993</c:v>
              </c:pt>
              <c:pt idx="19">
                <c:v>0.90999999999999992</c:v>
              </c:pt>
              <c:pt idx="20">
                <c:v>0.9</c:v>
              </c:pt>
            </c:numLit>
          </c:val>
          <c:smooth val="0"/>
        </c:ser>
        <c:dLbls>
          <c:showLegendKey val="0"/>
          <c:showVal val="0"/>
          <c:showCatName val="0"/>
          <c:showSerName val="0"/>
          <c:showPercent val="0"/>
          <c:showBubbleSize val="0"/>
        </c:dLbls>
        <c:marker val="1"/>
        <c:smooth val="0"/>
        <c:axId val="56888832"/>
        <c:axId val="183206464"/>
      </c:lineChart>
      <c:catAx>
        <c:axId val="56888832"/>
        <c:scaling>
          <c:orientation val="minMax"/>
        </c:scaling>
        <c:delete val="0"/>
        <c:axPos val="b"/>
        <c:numFmt formatCode="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183206464"/>
        <c:crosses val="autoZero"/>
        <c:auto val="1"/>
        <c:lblAlgn val="ctr"/>
        <c:lblOffset val="100"/>
        <c:tickLblSkip val="1"/>
        <c:noMultiLvlLbl val="0"/>
      </c:catAx>
      <c:valAx>
        <c:axId val="183206464"/>
        <c:scaling>
          <c:orientation val="minMax"/>
          <c:max val="1.2"/>
          <c:min val="0.8"/>
        </c:scaling>
        <c:delete val="0"/>
        <c:axPos val="l"/>
        <c:majorGridlines>
          <c:spPr>
            <a:ln>
              <a:solidFill>
                <a:schemeClr val="bg1">
                  <a:lumMod val="85000"/>
                </a:schemeClr>
              </a:solidFill>
              <a:prstDash val="sysDash"/>
            </a:ln>
          </c:spPr>
        </c:majorGridlines>
        <c:numFmt formatCode="0.00" sourceLinked="0"/>
        <c:majorTickMark val="out"/>
        <c:minorTickMark val="none"/>
        <c:tickLblPos val="nextTo"/>
        <c:txPr>
          <a:bodyPr/>
          <a:lstStyle/>
          <a:p>
            <a:pPr>
              <a:defRPr sz="700">
                <a:solidFill>
                  <a:schemeClr val="tx1">
                    <a:lumMod val="65000"/>
                    <a:lumOff val="35000"/>
                  </a:schemeClr>
                </a:solidFill>
              </a:defRPr>
            </a:pPr>
            <a:endParaRPr lang="en-US"/>
          </a:p>
        </c:txPr>
        <c:crossAx val="56888832"/>
        <c:crosses val="autoZero"/>
        <c:crossBetween val="between"/>
      </c:valAx>
    </c:plotArea>
    <c:legend>
      <c:legendPos val="t"/>
      <c:layout>
        <c:manualLayout>
          <c:xMode val="edge"/>
          <c:yMode val="edge"/>
          <c:x val="7.9389388826396692E-2"/>
          <c:y val="0.1152577385316714"/>
          <c:w val="0.87139370078740175"/>
          <c:h val="7.7927408861561687E-2"/>
        </c:manualLayout>
      </c:layout>
      <c:overlay val="0"/>
      <c:txPr>
        <a:bodyPr/>
        <a:lstStyle/>
        <a:p>
          <a:pPr>
            <a:defRPr sz="800"/>
          </a:pPr>
          <a:endParaRPr lang="en-US"/>
        </a:p>
      </c:txPr>
    </c:legend>
    <c:plotVisOnly val="1"/>
    <c:dispBlanksAs val="gap"/>
    <c:showDLblsOverMax val="0"/>
  </c:chart>
  <c:spPr>
    <a:solidFill>
      <a:sysClr val="window" lastClr="FFFFFF"/>
    </a:solidFill>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000"/>
          </a:pPr>
          <a:endParaRPr lang="en-US"/>
        </a:p>
      </c:txPr>
    </c:title>
    <c:autoTitleDeleted val="0"/>
    <c:plotArea>
      <c:layout>
        <c:manualLayout>
          <c:layoutTarget val="inner"/>
          <c:xMode val="edge"/>
          <c:yMode val="edge"/>
          <c:x val="0.30020203066721918"/>
          <c:y val="0.20895397335632995"/>
          <c:w val="0.5489097251001519"/>
          <c:h val="0.62850492595234053"/>
        </c:manualLayout>
      </c:layout>
      <c:barChart>
        <c:barDir val="bar"/>
        <c:grouping val="clustered"/>
        <c:varyColors val="0"/>
        <c:ser>
          <c:idx val="0"/>
          <c:order val="0"/>
          <c:tx>
            <c:v>Environmental Factors</c:v>
          </c:tx>
          <c:invertIfNegative val="0"/>
          <c:cat>
            <c:strLit>
              <c:ptCount val="3"/>
              <c:pt idx="0">
                <c:v>Temperate</c:v>
              </c:pt>
              <c:pt idx="1">
                <c:v>Erosive</c:v>
              </c:pt>
              <c:pt idx="2">
                <c:v>Hot/Harsh</c:v>
              </c:pt>
            </c:strLit>
          </c:cat>
          <c:val>
            <c:numLit>
              <c:formatCode>General</c:formatCode>
              <c:ptCount val="3"/>
              <c:pt idx="0">
                <c:v>1</c:v>
              </c:pt>
              <c:pt idx="1">
                <c:v>1.2</c:v>
              </c:pt>
              <c:pt idx="2">
                <c:v>1.3</c:v>
              </c:pt>
            </c:numLit>
          </c:val>
        </c:ser>
        <c:dLbls>
          <c:showLegendKey val="0"/>
          <c:showVal val="0"/>
          <c:showCatName val="0"/>
          <c:showSerName val="0"/>
          <c:showPercent val="0"/>
          <c:showBubbleSize val="0"/>
        </c:dLbls>
        <c:gapWidth val="150"/>
        <c:axId val="56885760"/>
        <c:axId val="183208192"/>
      </c:barChart>
      <c:catAx>
        <c:axId val="56885760"/>
        <c:scaling>
          <c:orientation val="minMax"/>
        </c:scaling>
        <c:delete val="0"/>
        <c:axPos val="l"/>
        <c:majorTickMark val="out"/>
        <c:minorTickMark val="none"/>
        <c:tickLblPos val="nextTo"/>
        <c:txPr>
          <a:bodyPr/>
          <a:lstStyle/>
          <a:p>
            <a:pPr>
              <a:defRPr sz="800"/>
            </a:pPr>
            <a:endParaRPr lang="en-US"/>
          </a:p>
        </c:txPr>
        <c:crossAx val="183208192"/>
        <c:crosses val="autoZero"/>
        <c:auto val="1"/>
        <c:lblAlgn val="ctr"/>
        <c:lblOffset val="100"/>
        <c:noMultiLvlLbl val="0"/>
      </c:catAx>
      <c:valAx>
        <c:axId val="183208192"/>
        <c:scaling>
          <c:orientation val="minMax"/>
        </c:scaling>
        <c:delete val="0"/>
        <c:axPos val="b"/>
        <c:numFmt formatCode="General" sourceLinked="1"/>
        <c:majorTickMark val="out"/>
        <c:minorTickMark val="none"/>
        <c:tickLblPos val="nextTo"/>
        <c:txPr>
          <a:bodyPr/>
          <a:lstStyle/>
          <a:p>
            <a:pPr>
              <a:defRPr sz="700">
                <a:solidFill>
                  <a:schemeClr val="bg1">
                    <a:lumMod val="50000"/>
                  </a:schemeClr>
                </a:solidFill>
              </a:defRPr>
            </a:pPr>
            <a:endParaRPr lang="en-US"/>
          </a:p>
        </c:txPr>
        <c:crossAx val="56885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6600058777301846"/>
          <c:y val="0.13071799358413533"/>
          <c:w val="0.24891267739039508"/>
          <c:h val="0.71043853893263342"/>
        </c:manualLayout>
      </c:layout>
      <c:doughnutChart>
        <c:varyColors val="1"/>
        <c:ser>
          <c:idx val="0"/>
          <c:order val="0"/>
          <c:explosion val="25"/>
          <c:dLbls>
            <c:dLbl>
              <c:idx val="0"/>
              <c:layout>
                <c:manualLayout>
                  <c:x val="0.11970491802022415"/>
                  <c:y val="9.1568996353331933E-2"/>
                </c:manualLayout>
              </c:layout>
              <c:showLegendKey val="0"/>
              <c:showVal val="0"/>
              <c:showCatName val="0"/>
              <c:showSerName val="0"/>
              <c:showPercent val="1"/>
              <c:showBubbleSize val="0"/>
            </c:dLbl>
            <c:dLbl>
              <c:idx val="1"/>
              <c:layout>
                <c:manualLayout>
                  <c:x val="-9.2353548152748946E-2"/>
                  <c:y val="9.4728492271799358E-2"/>
                </c:manualLayout>
              </c:layout>
              <c:showLegendKey val="0"/>
              <c:showVal val="0"/>
              <c:showCatName val="0"/>
              <c:showSerName val="0"/>
              <c:showPercent val="1"/>
              <c:showBubbleSize val="0"/>
            </c:dLbl>
            <c:txPr>
              <a:bodyPr/>
              <a:lstStyle/>
              <a:p>
                <a:pPr>
                  <a:defRPr sz="800">
                    <a:solidFill>
                      <a:srgbClr val="333333"/>
                    </a:solidFill>
                  </a:defRPr>
                </a:pPr>
                <a:endParaRPr lang="en-US"/>
              </a:p>
            </c:txPr>
            <c:showLegendKey val="0"/>
            <c:showVal val="0"/>
            <c:showCatName val="0"/>
            <c:showSerName val="0"/>
            <c:showPercent val="1"/>
            <c:showBubbleSize val="0"/>
            <c:showLeaderLines val="1"/>
          </c:dLbls>
          <c:cat>
            <c:strLit>
              <c:ptCount val="2"/>
              <c:pt idx="0">
                <c:v>PR :   $2.40 M</c:v>
              </c:pt>
              <c:pt idx="1">
                <c:v>LLP :  $1.30 M</c:v>
              </c:pt>
            </c:strLit>
          </c:cat>
          <c:val>
            <c:numLit>
              <c:formatCode>General</c:formatCode>
              <c:ptCount val="2"/>
              <c:pt idx="0">
                <c:v>2.4</c:v>
              </c:pt>
              <c:pt idx="1">
                <c:v>1.3</c:v>
              </c:pt>
            </c:numLit>
          </c:val>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17732161721109752"/>
          <c:y val="9.7836832895888015E-2"/>
          <c:w val="0.3394228368805125"/>
          <c:h val="0.31330708661417322"/>
        </c:manualLayout>
      </c:layout>
      <c:overlay val="0"/>
      <c:txPr>
        <a:bodyPr/>
        <a:lstStyle/>
        <a:p>
          <a:pPr>
            <a:defRPr sz="800" b="0">
              <a:solidFill>
                <a:schemeClr val="tx1">
                  <a:lumMod val="75000"/>
                  <a:lumOff val="2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66487205591430321"/>
          <c:y val="0.11590317876932051"/>
          <c:w val="0.24891267739039508"/>
          <c:h val="0.71043853893263342"/>
        </c:manualLayout>
      </c:layout>
      <c:doughnutChart>
        <c:varyColors val="1"/>
        <c:ser>
          <c:idx val="0"/>
          <c:order val="0"/>
          <c:explosion val="25"/>
          <c:dLbls>
            <c:dLbl>
              <c:idx val="0"/>
              <c:layout>
                <c:manualLayout>
                  <c:x val="6.2397048720405877E-2"/>
                  <c:y val="0.10638436862058909"/>
                </c:manualLayout>
              </c:layout>
              <c:showLegendKey val="0"/>
              <c:showVal val="0"/>
              <c:showCatName val="0"/>
              <c:showSerName val="0"/>
              <c:showPercent val="1"/>
              <c:showBubbleSize val="0"/>
            </c:dLbl>
            <c:dLbl>
              <c:idx val="1"/>
              <c:layout>
                <c:manualLayout>
                  <c:x val="-0.11668405590970519"/>
                  <c:y val="9.5024788568095653E-2"/>
                </c:manualLayout>
              </c:layout>
              <c:showLegendKey val="0"/>
              <c:showVal val="0"/>
              <c:showCatName val="0"/>
              <c:showSerName val="0"/>
              <c:showPercent val="1"/>
              <c:showBubbleSize val="0"/>
            </c:dLbl>
            <c:txPr>
              <a:bodyPr/>
              <a:lstStyle/>
              <a:p>
                <a:pPr>
                  <a:defRPr sz="800">
                    <a:solidFill>
                      <a:srgbClr val="333333"/>
                    </a:solidFill>
                  </a:defRPr>
                </a:pPr>
                <a:endParaRPr lang="en-US"/>
              </a:p>
            </c:txPr>
            <c:showLegendKey val="0"/>
            <c:showVal val="0"/>
            <c:showCatName val="0"/>
            <c:showSerName val="0"/>
            <c:showPercent val="1"/>
            <c:showBubbleSize val="0"/>
            <c:showLeaderLines val="1"/>
          </c:dLbls>
          <c:cat>
            <c:strLit>
              <c:ptCount val="2"/>
              <c:pt idx="0">
                <c:v>PR :   $2.56 M</c:v>
              </c:pt>
              <c:pt idx="1">
                <c:v>LLP :  $1.20 M</c:v>
              </c:pt>
            </c:strLit>
          </c:cat>
          <c:val>
            <c:numLit>
              <c:formatCode>General</c:formatCode>
              <c:ptCount val="2"/>
              <c:pt idx="0">
                <c:v>2.5625</c:v>
              </c:pt>
              <c:pt idx="1">
                <c:v>1.2</c:v>
              </c:pt>
            </c:numLit>
          </c:val>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17732161721109752"/>
          <c:y val="9.7836832895888015E-2"/>
          <c:w val="0.3394228368805125"/>
          <c:h val="0.31330708661417322"/>
        </c:manualLayout>
      </c:layout>
      <c:overlay val="0"/>
      <c:txPr>
        <a:bodyPr/>
        <a:lstStyle/>
        <a:p>
          <a:pPr>
            <a:defRPr sz="800" b="0">
              <a:solidFill>
                <a:schemeClr val="tx1">
                  <a:lumMod val="75000"/>
                  <a:lumOff val="2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66487205591430321"/>
          <c:y val="0.11590317876932051"/>
          <c:w val="0.24891267739039508"/>
          <c:h val="0.71043853893263342"/>
        </c:manualLayout>
      </c:layout>
      <c:doughnutChart>
        <c:varyColors val="1"/>
        <c:ser>
          <c:idx val="0"/>
          <c:order val="0"/>
          <c:explosion val="25"/>
          <c:dLbls>
            <c:dLbl>
              <c:idx val="0"/>
              <c:layout>
                <c:manualLayout>
                  <c:x val="0.11970491802022415"/>
                  <c:y val="4.7125109361329819E-2"/>
                </c:manualLayout>
              </c:layout>
              <c:showLegendKey val="0"/>
              <c:showVal val="0"/>
              <c:showCatName val="0"/>
              <c:showSerName val="0"/>
              <c:showPercent val="1"/>
              <c:showBubbleSize val="0"/>
            </c:dLbl>
            <c:dLbl>
              <c:idx val="1"/>
              <c:layout>
                <c:manualLayout>
                  <c:x val="-9.7219343173230874E-2"/>
                  <c:y val="6.169145523476232E-2"/>
                </c:manualLayout>
              </c:layout>
              <c:showLegendKey val="0"/>
              <c:showVal val="0"/>
              <c:showCatName val="0"/>
              <c:showSerName val="0"/>
              <c:showPercent val="1"/>
              <c:showBubbleSize val="0"/>
            </c:dLbl>
            <c:txPr>
              <a:bodyPr/>
              <a:lstStyle/>
              <a:p>
                <a:pPr>
                  <a:defRPr sz="800">
                    <a:solidFill>
                      <a:srgbClr val="333333"/>
                    </a:solidFill>
                  </a:defRPr>
                </a:pPr>
                <a:endParaRPr lang="en-US"/>
              </a:p>
            </c:txPr>
            <c:showLegendKey val="0"/>
            <c:showVal val="0"/>
            <c:showCatName val="0"/>
            <c:showSerName val="0"/>
            <c:showPercent val="1"/>
            <c:showBubbleSize val="0"/>
            <c:showLeaderLines val="1"/>
          </c:dLbls>
          <c:cat>
            <c:strLit>
              <c:ptCount val="2"/>
              <c:pt idx="0">
                <c:v>PR :   $2.50 M</c:v>
              </c:pt>
              <c:pt idx="1">
                <c:v>LLP :  $1.30 M</c:v>
              </c:pt>
            </c:strLit>
          </c:cat>
          <c:val>
            <c:numLit>
              <c:formatCode>General</c:formatCode>
              <c:ptCount val="2"/>
              <c:pt idx="0">
                <c:v>2.5</c:v>
              </c:pt>
              <c:pt idx="1">
                <c:v>1.3</c:v>
              </c:pt>
            </c:numLit>
          </c:val>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17732161721109752"/>
          <c:y val="6.8207640711577713E-2"/>
          <c:w val="0.3394228368805125"/>
          <c:h val="0.31330708661417322"/>
        </c:manualLayout>
      </c:layout>
      <c:overlay val="0"/>
      <c:txPr>
        <a:bodyPr/>
        <a:lstStyle/>
        <a:p>
          <a:pPr>
            <a:defRPr sz="800" b="0">
              <a:solidFill>
                <a:schemeClr val="tx1">
                  <a:lumMod val="75000"/>
                  <a:lumOff val="2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66487205591430321"/>
          <c:y val="0.11590317876932051"/>
          <c:w val="0.24891267739039508"/>
          <c:h val="0.71043853893263342"/>
        </c:manualLayout>
      </c:layout>
      <c:doughnutChart>
        <c:varyColors val="1"/>
        <c:ser>
          <c:idx val="0"/>
          <c:order val="0"/>
          <c:explosion val="25"/>
          <c:dLbls>
            <c:dLbl>
              <c:idx val="0"/>
              <c:layout>
                <c:manualLayout>
                  <c:x val="0.11970491802022415"/>
                  <c:y val="9.1568996353331933E-2"/>
                </c:manualLayout>
              </c:layout>
              <c:showLegendKey val="0"/>
              <c:showVal val="0"/>
              <c:showCatName val="0"/>
              <c:showSerName val="0"/>
              <c:showPercent val="1"/>
              <c:showBubbleSize val="0"/>
            </c:dLbl>
            <c:dLbl>
              <c:idx val="1"/>
              <c:layout>
                <c:manualLayout>
                  <c:x val="-9.7219343173230874E-2"/>
                  <c:y val="7.7432487605715958E-2"/>
                </c:manualLayout>
              </c:layout>
              <c:showLegendKey val="0"/>
              <c:showVal val="0"/>
              <c:showCatName val="0"/>
              <c:showSerName val="0"/>
              <c:showPercent val="1"/>
              <c:showBubbleSize val="0"/>
            </c:dLbl>
            <c:txPr>
              <a:bodyPr/>
              <a:lstStyle/>
              <a:p>
                <a:pPr>
                  <a:defRPr sz="800">
                    <a:solidFill>
                      <a:srgbClr val="333333"/>
                    </a:solidFill>
                  </a:defRPr>
                </a:pPr>
                <a:endParaRPr lang="en-US"/>
              </a:p>
            </c:txPr>
            <c:showLegendKey val="0"/>
            <c:showVal val="0"/>
            <c:showCatName val="0"/>
            <c:showSerName val="0"/>
            <c:showPercent val="1"/>
            <c:showBubbleSize val="0"/>
            <c:showLeaderLines val="1"/>
          </c:dLbls>
          <c:cat>
            <c:strLit>
              <c:ptCount val="2"/>
              <c:pt idx="0">
                <c:v>PR :   $2.50 M</c:v>
              </c:pt>
              <c:pt idx="1">
                <c:v>LLP :  $0.00 M</c:v>
              </c:pt>
            </c:strLit>
          </c:cat>
          <c:val>
            <c:numLit>
              <c:formatCode>General</c:formatCode>
              <c:ptCount val="2"/>
              <c:pt idx="0">
                <c:v>2.5</c:v>
              </c:pt>
              <c:pt idx="1">
                <c:v>0</c:v>
              </c:pt>
            </c:numLit>
          </c:val>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17732161721109752"/>
          <c:y val="9.7836832895888015E-2"/>
          <c:w val="0.3394228368805125"/>
          <c:h val="0.31330708661417322"/>
        </c:manualLayout>
      </c:layout>
      <c:overlay val="0"/>
      <c:txPr>
        <a:bodyPr/>
        <a:lstStyle/>
        <a:p>
          <a:pPr>
            <a:defRPr sz="800" b="0">
              <a:solidFill>
                <a:schemeClr val="tx1">
                  <a:lumMod val="75000"/>
                  <a:lumOff val="2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9.png"/><Relationship Id="rId5" Type="http://schemas.openxmlformats.org/officeDocument/2006/relationships/image" Target="../media/image5.jp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16</xdr:col>
      <xdr:colOff>57150</xdr:colOff>
      <xdr:row>2</xdr:row>
      <xdr:rowOff>3808</xdr:rowOff>
    </xdr:from>
    <xdr:to>
      <xdr:col>26</xdr:col>
      <xdr:colOff>38101</xdr:colOff>
      <xdr:row>35</xdr:row>
      <xdr:rowOff>57150</xdr:rowOff>
    </xdr:to>
    <xdr:grpSp>
      <xdr:nvGrpSpPr>
        <xdr:cNvPr id="2" name="Group 1"/>
        <xdr:cNvGrpSpPr/>
      </xdr:nvGrpSpPr>
      <xdr:grpSpPr>
        <a:xfrm>
          <a:off x="5181600" y="203833"/>
          <a:ext cx="5343526" cy="4806317"/>
          <a:chOff x="16259175" y="165733"/>
          <a:chExt cx="5343526" cy="4899898"/>
        </a:xfrm>
      </xdr:grpSpPr>
      <xdr:graphicFrame macro="">
        <xdr:nvGraphicFramePr>
          <xdr:cNvPr id="3" name="Chart 2"/>
          <xdr:cNvGraphicFramePr/>
        </xdr:nvGraphicFramePr>
        <xdr:xfrm>
          <a:off x="16259175" y="169445"/>
          <a:ext cx="2614802" cy="256423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18802826" y="165733"/>
          <a:ext cx="2780822" cy="255309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16297277" y="2436731"/>
          <a:ext cx="5305424" cy="26289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26</xdr:col>
      <xdr:colOff>47625</xdr:colOff>
      <xdr:row>2</xdr:row>
      <xdr:rowOff>9525</xdr:rowOff>
    </xdr:from>
    <xdr:to>
      <xdr:col>33</xdr:col>
      <xdr:colOff>9525</xdr:colOff>
      <xdr:row>29</xdr:row>
      <xdr:rowOff>9525</xdr:rowOff>
    </xdr:to>
    <xdr:sp macro="" textlink="">
      <xdr:nvSpPr>
        <xdr:cNvPr id="6" name="Rectangle 5"/>
        <xdr:cNvSpPr/>
      </xdr:nvSpPr>
      <xdr:spPr>
        <a:xfrm>
          <a:off x="10534650" y="209550"/>
          <a:ext cx="2514600" cy="38766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561974</xdr:colOff>
      <xdr:row>2</xdr:row>
      <xdr:rowOff>14286</xdr:rowOff>
    </xdr:from>
    <xdr:to>
      <xdr:col>34</xdr:col>
      <xdr:colOff>66674</xdr:colOff>
      <xdr:row>19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581025</xdr:colOff>
      <xdr:row>111</xdr:row>
      <xdr:rowOff>180975</xdr:rowOff>
    </xdr:from>
    <xdr:to>
      <xdr:col>3</xdr:col>
      <xdr:colOff>581025</xdr:colOff>
      <xdr:row>123</xdr:row>
      <xdr:rowOff>89535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9825" y="21097875"/>
          <a:ext cx="4297680" cy="2194560"/>
        </a:xfrm>
        <a:prstGeom prst="rect">
          <a:avLst/>
        </a:prstGeom>
      </xdr:spPr>
    </xdr:pic>
    <xdr:clientData/>
  </xdr:twoCellAnchor>
  <xdr:twoCellAnchor editAs="oneCell">
    <xdr:from>
      <xdr:col>0</xdr:col>
      <xdr:colOff>200025</xdr:colOff>
      <xdr:row>28</xdr:row>
      <xdr:rowOff>180975</xdr:rowOff>
    </xdr:from>
    <xdr:to>
      <xdr:col>0</xdr:col>
      <xdr:colOff>200025</xdr:colOff>
      <xdr:row>38</xdr:row>
      <xdr:rowOff>104775</xdr:rowOff>
    </xdr:to>
    <xdr:pic>
      <xdr:nvPicPr>
        <xdr:cNvPr id="3" name="Picture 2"/>
        <xdr:cNvPicPr/>
      </xdr:nvPicPr>
      <xdr:blipFill>
        <a:blip xmlns:r="http://schemas.openxmlformats.org/officeDocument/2006/relationships" r:embed="rId2" cstate="print"/>
        <a:srcRect/>
        <a:stretch>
          <a:fillRect/>
        </a:stretch>
      </xdr:blipFill>
      <xdr:spPr bwMode="auto">
        <a:xfrm>
          <a:off x="200025" y="5476875"/>
          <a:ext cx="4297680" cy="1828800"/>
        </a:xfrm>
        <a:prstGeom prst="rect">
          <a:avLst/>
        </a:prstGeom>
        <a:noFill/>
        <a:ln w="9525">
          <a:noFill/>
          <a:miter lim="800000"/>
          <a:headEnd/>
          <a:tailEnd/>
        </a:ln>
      </xdr:spPr>
    </xdr:pic>
    <xdr:clientData/>
  </xdr:twoCellAnchor>
  <xdr:twoCellAnchor editAs="oneCell">
    <xdr:from>
      <xdr:col>0</xdr:col>
      <xdr:colOff>219074</xdr:colOff>
      <xdr:row>43</xdr:row>
      <xdr:rowOff>9525</xdr:rowOff>
    </xdr:from>
    <xdr:to>
      <xdr:col>0</xdr:col>
      <xdr:colOff>219074</xdr:colOff>
      <xdr:row>51</xdr:row>
      <xdr:rowOff>131445</xdr:rowOff>
    </xdr:to>
    <xdr:pic>
      <xdr:nvPicPr>
        <xdr:cNvPr id="4" name="Picture 3"/>
        <xdr:cNvPicPr/>
      </xdr:nvPicPr>
      <xdr:blipFill>
        <a:blip xmlns:r="http://schemas.openxmlformats.org/officeDocument/2006/relationships" r:embed="rId3" cstate="print"/>
        <a:srcRect/>
        <a:stretch>
          <a:fillRect/>
        </a:stretch>
      </xdr:blipFill>
      <xdr:spPr bwMode="auto">
        <a:xfrm>
          <a:off x="219074" y="8162925"/>
          <a:ext cx="4114800" cy="1645920"/>
        </a:xfrm>
        <a:prstGeom prst="rect">
          <a:avLst/>
        </a:prstGeom>
        <a:noFill/>
        <a:ln w="9525">
          <a:noFill/>
          <a:miter lim="800000"/>
          <a:headEnd/>
          <a:tailEnd/>
        </a:ln>
      </xdr:spPr>
    </xdr:pic>
    <xdr:clientData/>
  </xdr:twoCellAnchor>
  <xdr:twoCellAnchor editAs="oneCell">
    <xdr:from>
      <xdr:col>2</xdr:col>
      <xdr:colOff>552450</xdr:colOff>
      <xdr:row>12</xdr:row>
      <xdr:rowOff>66675</xdr:rowOff>
    </xdr:from>
    <xdr:to>
      <xdr:col>2</xdr:col>
      <xdr:colOff>552450</xdr:colOff>
      <xdr:row>24</xdr:row>
      <xdr:rowOff>66675</xdr:rowOff>
    </xdr:to>
    <xdr:pic>
      <xdr:nvPicPr>
        <xdr:cNvPr id="5" name="Picture 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71650" y="2314575"/>
          <a:ext cx="5212080" cy="2286000"/>
        </a:xfrm>
        <a:prstGeom prst="rect">
          <a:avLst/>
        </a:prstGeom>
      </xdr:spPr>
    </xdr:pic>
    <xdr:clientData/>
  </xdr:twoCellAnchor>
  <xdr:twoCellAnchor editAs="oneCell">
    <xdr:from>
      <xdr:col>0</xdr:col>
      <xdr:colOff>123825</xdr:colOff>
      <xdr:row>0</xdr:row>
      <xdr:rowOff>95250</xdr:rowOff>
    </xdr:from>
    <xdr:to>
      <xdr:col>0</xdr:col>
      <xdr:colOff>123825</xdr:colOff>
      <xdr:row>2</xdr:row>
      <xdr:rowOff>23855</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3825" y="95250"/>
          <a:ext cx="1280160" cy="385805"/>
        </a:xfrm>
        <a:prstGeom prst="rect">
          <a:avLst/>
        </a:prstGeom>
      </xdr:spPr>
    </xdr:pic>
    <xdr:clientData/>
  </xdr:twoCellAnchor>
  <xdr:twoCellAnchor editAs="oneCell">
    <xdr:from>
      <xdr:col>0</xdr:col>
      <xdr:colOff>123825</xdr:colOff>
      <xdr:row>53</xdr:row>
      <xdr:rowOff>0</xdr:rowOff>
    </xdr:from>
    <xdr:to>
      <xdr:col>0</xdr:col>
      <xdr:colOff>123825</xdr:colOff>
      <xdr:row>64</xdr:row>
      <xdr:rowOff>81879</xdr:rowOff>
    </xdr:to>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3825" y="10058400"/>
          <a:ext cx="4114800" cy="2177379"/>
        </a:xfrm>
        <a:prstGeom prst="rect">
          <a:avLst/>
        </a:prstGeom>
      </xdr:spPr>
    </xdr:pic>
    <xdr:clientData/>
  </xdr:twoCellAnchor>
  <xdr:twoCellAnchor editAs="oneCell">
    <xdr:from>
      <xdr:col>3</xdr:col>
      <xdr:colOff>457200</xdr:colOff>
      <xdr:row>73</xdr:row>
      <xdr:rowOff>142875</xdr:rowOff>
    </xdr:from>
    <xdr:to>
      <xdr:col>3</xdr:col>
      <xdr:colOff>457200</xdr:colOff>
      <xdr:row>80</xdr:row>
      <xdr:rowOff>180975</xdr:rowOff>
    </xdr:to>
    <xdr:pic>
      <xdr:nvPicPr>
        <xdr:cNvPr id="8" name="Picture 7"/>
        <xdr:cNvPicPr/>
      </xdr:nvPicPr>
      <xdr:blipFill>
        <a:blip xmlns:r="http://schemas.openxmlformats.org/officeDocument/2006/relationships" r:embed="rId7" cstate="print"/>
        <a:srcRect/>
        <a:stretch>
          <a:fillRect/>
        </a:stretch>
      </xdr:blipFill>
      <xdr:spPr bwMode="auto">
        <a:xfrm>
          <a:off x="2286000" y="14011275"/>
          <a:ext cx="4389120" cy="1371600"/>
        </a:xfrm>
        <a:prstGeom prst="rect">
          <a:avLst/>
        </a:prstGeom>
        <a:noFill/>
        <a:ln w="9525">
          <a:noFill/>
          <a:miter lim="800000"/>
          <a:headEnd/>
          <a:tailEnd/>
        </a:ln>
      </xdr:spPr>
    </xdr:pic>
    <xdr:clientData/>
  </xdr:twoCellAnchor>
  <xdr:twoCellAnchor editAs="oneCell">
    <xdr:from>
      <xdr:col>3</xdr:col>
      <xdr:colOff>161925</xdr:colOff>
      <xdr:row>97</xdr:row>
      <xdr:rowOff>123823</xdr:rowOff>
    </xdr:from>
    <xdr:to>
      <xdr:col>3</xdr:col>
      <xdr:colOff>161925</xdr:colOff>
      <xdr:row>104</xdr:row>
      <xdr:rowOff>161923</xdr:rowOff>
    </xdr:to>
    <xdr:pic>
      <xdr:nvPicPr>
        <xdr:cNvPr id="9" name="Picture 8"/>
        <xdr:cNvPicPr/>
      </xdr:nvPicPr>
      <xdr:blipFill>
        <a:blip xmlns:r="http://schemas.openxmlformats.org/officeDocument/2006/relationships" r:embed="rId8" cstate="print"/>
        <a:stretch>
          <a:fillRect/>
        </a:stretch>
      </xdr:blipFill>
      <xdr:spPr>
        <a:xfrm>
          <a:off x="1990725" y="18488023"/>
          <a:ext cx="4937760" cy="1371600"/>
        </a:xfrm>
        <a:prstGeom prst="rect">
          <a:avLst/>
        </a:prstGeom>
      </xdr:spPr>
    </xdr:pic>
    <xdr:clientData/>
  </xdr:twoCellAnchor>
  <xdr:twoCellAnchor editAs="oneCell">
    <xdr:from>
      <xdr:col>0</xdr:col>
      <xdr:colOff>133350</xdr:colOff>
      <xdr:row>0</xdr:row>
      <xdr:rowOff>133350</xdr:rowOff>
    </xdr:from>
    <xdr:to>
      <xdr:col>2</xdr:col>
      <xdr:colOff>194310</xdr:colOff>
      <xdr:row>2</xdr:row>
      <xdr:rowOff>61955</xdr:rowOff>
    </xdr:to>
    <xdr:pic>
      <xdr:nvPicPr>
        <xdr:cNvPr id="10" name="Picture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3350" y="133350"/>
          <a:ext cx="1280160" cy="385805"/>
        </a:xfrm>
        <a:prstGeom prst="rect">
          <a:avLst/>
        </a:prstGeom>
      </xdr:spPr>
    </xdr:pic>
    <xdr:clientData/>
  </xdr:twoCellAnchor>
  <xdr:twoCellAnchor editAs="oneCell">
    <xdr:from>
      <xdr:col>3</xdr:col>
      <xdr:colOff>314325</xdr:colOff>
      <xdr:row>12</xdr:row>
      <xdr:rowOff>66675</xdr:rowOff>
    </xdr:from>
    <xdr:to>
      <xdr:col>12</xdr:col>
      <xdr:colOff>40005</xdr:colOff>
      <xdr:row>24</xdr:row>
      <xdr:rowOff>66675</xdr:rowOff>
    </xdr:to>
    <xdr:pic>
      <xdr:nvPicPr>
        <xdr:cNvPr id="11" name="Picture 10"/>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43125" y="2314575"/>
          <a:ext cx="5212080" cy="2286000"/>
        </a:xfrm>
        <a:prstGeom prst="rect">
          <a:avLst/>
        </a:prstGeom>
      </xdr:spPr>
    </xdr:pic>
    <xdr:clientData/>
  </xdr:twoCellAnchor>
  <xdr:twoCellAnchor editAs="oneCell">
    <xdr:from>
      <xdr:col>0</xdr:col>
      <xdr:colOff>457200</xdr:colOff>
      <xdr:row>29</xdr:row>
      <xdr:rowOff>47625</xdr:rowOff>
    </xdr:from>
    <xdr:to>
      <xdr:col>6</xdr:col>
      <xdr:colOff>476250</xdr:colOff>
      <xdr:row>39</xdr:row>
      <xdr:rowOff>95251</xdr:rowOff>
    </xdr:to>
    <xdr:pic>
      <xdr:nvPicPr>
        <xdr:cNvPr id="13" name="Picture 12"/>
        <xdr:cNvPicPr/>
      </xdr:nvPicPr>
      <xdr:blipFill>
        <a:blip xmlns:r="http://schemas.openxmlformats.org/officeDocument/2006/relationships" r:embed="rId2" cstate="print"/>
        <a:srcRect/>
        <a:stretch>
          <a:fillRect/>
        </a:stretch>
      </xdr:blipFill>
      <xdr:spPr bwMode="auto">
        <a:xfrm>
          <a:off x="457200" y="5534025"/>
          <a:ext cx="3676650" cy="1952626"/>
        </a:xfrm>
        <a:prstGeom prst="rect">
          <a:avLst/>
        </a:prstGeom>
        <a:noFill/>
        <a:ln w="9525">
          <a:noFill/>
          <a:miter lim="800000"/>
          <a:headEnd/>
          <a:tailEnd/>
        </a:ln>
      </xdr:spPr>
    </xdr:pic>
    <xdr:clientData/>
  </xdr:twoCellAnchor>
  <xdr:twoCellAnchor editAs="oneCell">
    <xdr:from>
      <xdr:col>0</xdr:col>
      <xdr:colOff>381000</xdr:colOff>
      <xdr:row>43</xdr:row>
      <xdr:rowOff>28575</xdr:rowOff>
    </xdr:from>
    <xdr:to>
      <xdr:col>7</xdr:col>
      <xdr:colOff>228600</xdr:colOff>
      <xdr:row>51</xdr:row>
      <xdr:rowOff>150495</xdr:rowOff>
    </xdr:to>
    <xdr:pic>
      <xdr:nvPicPr>
        <xdr:cNvPr id="14" name="Picture 13"/>
        <xdr:cNvPicPr/>
      </xdr:nvPicPr>
      <xdr:blipFill>
        <a:blip xmlns:r="http://schemas.openxmlformats.org/officeDocument/2006/relationships" r:embed="rId3" cstate="print"/>
        <a:srcRect/>
        <a:stretch>
          <a:fillRect/>
        </a:stretch>
      </xdr:blipFill>
      <xdr:spPr bwMode="auto">
        <a:xfrm>
          <a:off x="381000" y="8181975"/>
          <a:ext cx="4114800" cy="1645920"/>
        </a:xfrm>
        <a:prstGeom prst="rect">
          <a:avLst/>
        </a:prstGeom>
        <a:noFill/>
        <a:ln w="9525">
          <a:noFill/>
          <a:miter lim="800000"/>
          <a:headEnd/>
          <a:tailEnd/>
        </a:ln>
      </xdr:spPr>
    </xdr:pic>
    <xdr:clientData/>
  </xdr:twoCellAnchor>
  <xdr:twoCellAnchor editAs="oneCell">
    <xdr:from>
      <xdr:col>0</xdr:col>
      <xdr:colOff>114300</xdr:colOff>
      <xdr:row>53</xdr:row>
      <xdr:rowOff>0</xdr:rowOff>
    </xdr:from>
    <xdr:to>
      <xdr:col>6</xdr:col>
      <xdr:colOff>571500</xdr:colOff>
      <xdr:row>64</xdr:row>
      <xdr:rowOff>81879</xdr:rowOff>
    </xdr:to>
    <xdr:pic>
      <xdr:nvPicPr>
        <xdr:cNvPr id="15" name="Picture 1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4300" y="10058400"/>
          <a:ext cx="4114800" cy="2177379"/>
        </a:xfrm>
        <a:prstGeom prst="rect">
          <a:avLst/>
        </a:prstGeom>
      </xdr:spPr>
    </xdr:pic>
    <xdr:clientData/>
  </xdr:twoCellAnchor>
  <xdr:twoCellAnchor editAs="oneCell">
    <xdr:from>
      <xdr:col>4</xdr:col>
      <xdr:colOff>152400</xdr:colOff>
      <xdr:row>74</xdr:row>
      <xdr:rowOff>9525</xdr:rowOff>
    </xdr:from>
    <xdr:to>
      <xdr:col>11</xdr:col>
      <xdr:colOff>365760</xdr:colOff>
      <xdr:row>81</xdr:row>
      <xdr:rowOff>139065</xdr:rowOff>
    </xdr:to>
    <xdr:pic>
      <xdr:nvPicPr>
        <xdr:cNvPr id="16" name="Picture 15"/>
        <xdr:cNvPicPr/>
      </xdr:nvPicPr>
      <xdr:blipFill>
        <a:blip xmlns:r="http://schemas.openxmlformats.org/officeDocument/2006/relationships" r:embed="rId7" cstate="print"/>
        <a:srcRect/>
        <a:stretch>
          <a:fillRect/>
        </a:stretch>
      </xdr:blipFill>
      <xdr:spPr bwMode="auto">
        <a:xfrm>
          <a:off x="2590800" y="14068425"/>
          <a:ext cx="4480560" cy="1463040"/>
        </a:xfrm>
        <a:prstGeom prst="rect">
          <a:avLst/>
        </a:prstGeom>
        <a:noFill/>
        <a:ln w="9525">
          <a:noFill/>
          <a:miter lim="800000"/>
          <a:headEnd/>
          <a:tailEnd/>
        </a:ln>
      </xdr:spPr>
    </xdr:pic>
    <xdr:clientData/>
  </xdr:twoCellAnchor>
  <xdr:twoCellAnchor editAs="oneCell">
    <xdr:from>
      <xdr:col>3</xdr:col>
      <xdr:colOff>504825</xdr:colOff>
      <xdr:row>97</xdr:row>
      <xdr:rowOff>133350</xdr:rowOff>
    </xdr:from>
    <xdr:to>
      <xdr:col>11</xdr:col>
      <xdr:colOff>565785</xdr:colOff>
      <xdr:row>104</xdr:row>
      <xdr:rowOff>171450</xdr:rowOff>
    </xdr:to>
    <xdr:pic>
      <xdr:nvPicPr>
        <xdr:cNvPr id="17" name="Picture 16"/>
        <xdr:cNvPicPr/>
      </xdr:nvPicPr>
      <xdr:blipFill>
        <a:blip xmlns:r="http://schemas.openxmlformats.org/officeDocument/2006/relationships" r:embed="rId8" cstate="print"/>
        <a:stretch>
          <a:fillRect/>
        </a:stretch>
      </xdr:blipFill>
      <xdr:spPr>
        <a:xfrm>
          <a:off x="2333625" y="18573750"/>
          <a:ext cx="4937760" cy="1371600"/>
        </a:xfrm>
        <a:prstGeom prst="rect">
          <a:avLst/>
        </a:prstGeom>
      </xdr:spPr>
    </xdr:pic>
    <xdr:clientData/>
  </xdr:twoCellAnchor>
  <xdr:twoCellAnchor editAs="oneCell">
    <xdr:from>
      <xdr:col>3</xdr:col>
      <xdr:colOff>533400</xdr:colOff>
      <xdr:row>111</xdr:row>
      <xdr:rowOff>76200</xdr:rowOff>
    </xdr:from>
    <xdr:to>
      <xdr:col>12</xdr:col>
      <xdr:colOff>123825</xdr:colOff>
      <xdr:row>123</xdr:row>
      <xdr:rowOff>142875</xdr:rowOff>
    </xdr:to>
    <xdr:pic>
      <xdr:nvPicPr>
        <xdr:cNvPr id="18" name="Picture 1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0" y="21069300"/>
          <a:ext cx="5076825" cy="235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285749</xdr:colOff>
      <xdr:row>15</xdr:row>
      <xdr:rowOff>133350</xdr:rowOff>
    </xdr:from>
    <xdr:to>
      <xdr:col>25</xdr:col>
      <xdr:colOff>1</xdr:colOff>
      <xdr:row>24</xdr:row>
      <xdr:rowOff>95250</xdr:rowOff>
    </xdr:to>
    <xdr:grpSp>
      <xdr:nvGrpSpPr>
        <xdr:cNvPr id="2" name="Group 1"/>
        <xdr:cNvGrpSpPr/>
      </xdr:nvGrpSpPr>
      <xdr:grpSpPr>
        <a:xfrm>
          <a:off x="1647824" y="1571625"/>
          <a:ext cx="9877427" cy="914400"/>
          <a:chOff x="1628774" y="1352550"/>
          <a:chExt cx="9877427" cy="914400"/>
        </a:xfrm>
      </xdr:grpSpPr>
      <xdr:graphicFrame macro="">
        <xdr:nvGraphicFramePr>
          <xdr:cNvPr id="3" name="Chart 2"/>
          <xdr:cNvGraphicFramePr/>
        </xdr:nvGraphicFramePr>
        <xdr:xfrm>
          <a:off x="1628774" y="1352550"/>
          <a:ext cx="2609851" cy="8572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4048125" y="1352550"/>
          <a:ext cx="2609851" cy="85725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6477000" y="1409700"/>
          <a:ext cx="2609851" cy="8572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8896350" y="1352550"/>
          <a:ext cx="2609851" cy="8572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1</xdr:col>
      <xdr:colOff>85725</xdr:colOff>
      <xdr:row>2</xdr:row>
      <xdr:rowOff>28576</xdr:rowOff>
    </xdr:from>
    <xdr:to>
      <xdr:col>1</xdr:col>
      <xdr:colOff>85725</xdr:colOff>
      <xdr:row>4</xdr:row>
      <xdr:rowOff>14331</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42876"/>
          <a:ext cx="1280160" cy="385805"/>
        </a:xfrm>
        <a:prstGeom prst="rect">
          <a:avLst/>
        </a:prstGeom>
      </xdr:spPr>
    </xdr:pic>
    <xdr:clientData/>
  </xdr:twoCellAnchor>
  <xdr:twoCellAnchor>
    <xdr:from>
      <xdr:col>16</xdr:col>
      <xdr:colOff>85725</xdr:colOff>
      <xdr:row>49</xdr:row>
      <xdr:rowOff>142874</xdr:rowOff>
    </xdr:from>
    <xdr:to>
      <xdr:col>24</xdr:col>
      <xdr:colOff>355513</xdr:colOff>
      <xdr:row>61</xdr:row>
      <xdr:rowOff>76200</xdr:rowOff>
    </xdr:to>
    <xdr:pic>
      <xdr:nvPicPr>
        <xdr:cNvPr id="8" name="Picture 7" descr="Picture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43750" y="6105524"/>
          <a:ext cx="4356013" cy="1647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0</xdr:rowOff>
    </xdr:from>
    <xdr:to>
      <xdr:col>4</xdr:col>
      <xdr:colOff>60960</xdr:colOff>
      <xdr:row>3</xdr:row>
      <xdr:rowOff>252455</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4300"/>
          <a:ext cx="1280160" cy="3858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opLeftCell="AJ1" workbookViewId="0">
      <selection activeCell="AV11" sqref="AV11"/>
    </sheetView>
  </sheetViews>
  <sheetFormatPr defaultColWidth="9.140625" defaultRowHeight="11.25" customHeight="1" zeroHeight="1" x14ac:dyDescent="0.2"/>
  <cols>
    <col min="1" max="1" width="1.7109375" style="1" hidden="1" customWidth="1"/>
    <col min="2" max="2" width="6.5703125" style="1" hidden="1" customWidth="1"/>
    <col min="3" max="3" width="7.7109375" style="1" hidden="1" customWidth="1"/>
    <col min="4" max="4" width="5.7109375" style="1" hidden="1" customWidth="1"/>
    <col min="5" max="5" width="4.5703125" style="1" hidden="1" customWidth="1"/>
    <col min="6" max="6" width="5.7109375" style="1" hidden="1" customWidth="1"/>
    <col min="7" max="7" width="7.85546875" style="1" hidden="1" customWidth="1"/>
    <col min="8" max="9" width="5.7109375" style="1" hidden="1" customWidth="1"/>
    <col min="10" max="10" width="8.7109375" style="1" hidden="1" customWidth="1"/>
    <col min="11" max="11" width="5.7109375" style="1" hidden="1" customWidth="1"/>
    <col min="12" max="12" width="1" style="1" hidden="1" customWidth="1"/>
    <col min="13" max="13" width="6.7109375" style="1" hidden="1" customWidth="1"/>
    <col min="14" max="14" width="5.85546875" style="1" hidden="1" customWidth="1"/>
    <col min="15" max="15" width="5.7109375" style="1" hidden="1" customWidth="1"/>
    <col min="16" max="16" width="7.85546875" style="1" hidden="1" customWidth="1"/>
    <col min="17" max="17" width="1" style="1" hidden="1" customWidth="1"/>
    <col min="18" max="18" width="5.140625" style="1" hidden="1" customWidth="1"/>
    <col min="19" max="26" width="9.28515625" style="1" hidden="1" customWidth="1"/>
    <col min="27" max="27" width="0.85546875" style="1" hidden="1" customWidth="1"/>
    <col min="28" max="28" width="9.140625" style="1" hidden="1" customWidth="1"/>
    <col min="29" max="32" width="5.7109375" style="1" hidden="1" customWidth="1"/>
    <col min="33" max="33" width="5.42578125" style="1" hidden="1" customWidth="1"/>
    <col min="34" max="34" width="2" style="1" hidden="1" customWidth="1"/>
    <col min="35" max="35" width="0" style="1" hidden="1" customWidth="1"/>
    <col min="36" max="16384" width="9.140625" style="1"/>
  </cols>
  <sheetData>
    <row r="1" spans="1:35" ht="4.5" customHeight="1" x14ac:dyDescent="0.2"/>
    <row r="2" spans="1:35" x14ac:dyDescent="0.2">
      <c r="A2" s="2"/>
      <c r="B2" s="3" t="s">
        <v>0</v>
      </c>
      <c r="C2" s="4"/>
      <c r="D2" s="4"/>
      <c r="E2" s="4"/>
      <c r="F2" s="4"/>
      <c r="G2" s="4"/>
      <c r="H2" s="4"/>
      <c r="I2" s="4"/>
      <c r="J2" s="4"/>
      <c r="K2" s="4"/>
      <c r="L2" s="2"/>
      <c r="M2" s="5" t="s">
        <v>1</v>
      </c>
      <c r="N2" s="5"/>
      <c r="O2" s="6"/>
      <c r="P2" s="6"/>
      <c r="Q2" s="2"/>
      <c r="R2" s="6" t="s">
        <v>2</v>
      </c>
      <c r="S2" s="6"/>
      <c r="T2" s="6"/>
      <c r="U2" s="6"/>
      <c r="V2" s="6"/>
      <c r="W2" s="6"/>
      <c r="X2" s="6"/>
      <c r="Y2" s="6"/>
      <c r="Z2" s="6"/>
      <c r="AA2" s="6"/>
      <c r="AB2" s="6"/>
      <c r="AC2" s="6"/>
      <c r="AD2" s="6"/>
      <c r="AE2" s="6"/>
      <c r="AF2" s="6"/>
      <c r="AG2" s="6"/>
    </row>
    <row r="3" spans="1:35" x14ac:dyDescent="0.2">
      <c r="A3" s="7"/>
      <c r="B3" s="8" t="s">
        <v>3</v>
      </c>
      <c r="C3" s="8" t="s">
        <v>3</v>
      </c>
      <c r="D3" s="8" t="s">
        <v>3</v>
      </c>
      <c r="E3" s="9" t="s">
        <v>4</v>
      </c>
      <c r="F3" s="280" t="s">
        <v>5</v>
      </c>
      <c r="G3" s="281"/>
      <c r="H3" s="282"/>
      <c r="I3" s="280" t="s">
        <v>6</v>
      </c>
      <c r="J3" s="281"/>
      <c r="K3" s="282"/>
      <c r="L3" s="7"/>
      <c r="M3" s="283" t="s">
        <v>7</v>
      </c>
      <c r="N3" s="283"/>
      <c r="O3" s="283"/>
      <c r="P3" s="283"/>
      <c r="Q3" s="7"/>
      <c r="R3" s="10" t="s">
        <v>8</v>
      </c>
      <c r="S3" s="284" t="s">
        <v>9</v>
      </c>
      <c r="T3" s="285"/>
      <c r="U3" s="285"/>
      <c r="V3" s="286"/>
      <c r="W3" s="284" t="s">
        <v>10</v>
      </c>
      <c r="X3" s="285"/>
      <c r="Y3" s="285"/>
      <c r="Z3" s="286"/>
      <c r="AA3" s="11"/>
      <c r="AB3" s="12" t="s">
        <v>11</v>
      </c>
      <c r="AC3" s="13"/>
      <c r="AD3" s="13"/>
      <c r="AE3" s="14" t="s">
        <v>12</v>
      </c>
      <c r="AF3" s="14" t="s">
        <v>13</v>
      </c>
      <c r="AG3" s="15" t="s">
        <v>14</v>
      </c>
    </row>
    <row r="4" spans="1:35" x14ac:dyDescent="0.2">
      <c r="A4" s="7"/>
      <c r="B4" s="16" t="s">
        <v>15</v>
      </c>
      <c r="C4" s="16" t="s">
        <v>16</v>
      </c>
      <c r="D4" s="16" t="s">
        <v>17</v>
      </c>
      <c r="E4" s="17" t="s">
        <v>18</v>
      </c>
      <c r="F4" s="18" t="s">
        <v>19</v>
      </c>
      <c r="G4" s="18" t="s">
        <v>20</v>
      </c>
      <c r="H4" s="18" t="s">
        <v>21</v>
      </c>
      <c r="I4" s="19" t="s">
        <v>19</v>
      </c>
      <c r="J4" s="16" t="s">
        <v>20</v>
      </c>
      <c r="K4" s="16" t="s">
        <v>22</v>
      </c>
      <c r="L4" s="7"/>
      <c r="M4" s="20" t="s">
        <v>23</v>
      </c>
      <c r="N4" s="21" t="s">
        <v>24</v>
      </c>
      <c r="O4" s="22" t="s">
        <v>25</v>
      </c>
      <c r="P4" s="22" t="s">
        <v>26</v>
      </c>
      <c r="Q4" s="7"/>
      <c r="R4" s="23" t="s">
        <v>27</v>
      </c>
      <c r="S4" s="24" t="s">
        <v>28</v>
      </c>
      <c r="T4" s="24" t="s">
        <v>29</v>
      </c>
      <c r="U4" s="24" t="s">
        <v>30</v>
      </c>
      <c r="V4" s="24" t="s">
        <v>31</v>
      </c>
      <c r="W4" s="24" t="s">
        <v>28</v>
      </c>
      <c r="X4" s="24" t="s">
        <v>29</v>
      </c>
      <c r="Y4" s="24" t="s">
        <v>30</v>
      </c>
      <c r="Z4" s="24" t="s">
        <v>31</v>
      </c>
      <c r="AA4" s="25"/>
      <c r="AB4" s="24" t="s">
        <v>32</v>
      </c>
      <c r="AC4" s="24" t="s">
        <v>33</v>
      </c>
      <c r="AD4" s="24" t="s">
        <v>34</v>
      </c>
      <c r="AE4" s="24" t="s">
        <v>33</v>
      </c>
      <c r="AF4" s="24" t="s">
        <v>33</v>
      </c>
      <c r="AG4" s="24" t="s">
        <v>33</v>
      </c>
    </row>
    <row r="5" spans="1:35" x14ac:dyDescent="0.2">
      <c r="A5" s="7"/>
      <c r="B5" s="26"/>
      <c r="C5" s="27"/>
      <c r="D5" s="28"/>
      <c r="E5" s="29"/>
      <c r="F5" s="30"/>
      <c r="G5" s="30"/>
      <c r="H5" s="31"/>
      <c r="I5" s="32"/>
      <c r="J5" s="32"/>
      <c r="K5" s="31"/>
      <c r="L5" s="7"/>
      <c r="M5" s="33" t="s">
        <v>35</v>
      </c>
      <c r="N5" s="34" t="s">
        <v>36</v>
      </c>
      <c r="O5" s="35">
        <v>30000</v>
      </c>
      <c r="P5" s="35">
        <v>200000</v>
      </c>
      <c r="R5" s="36">
        <v>1</v>
      </c>
      <c r="S5" s="37">
        <v>1.6</v>
      </c>
      <c r="T5" s="37">
        <v>0.95</v>
      </c>
      <c r="U5" s="37">
        <v>1.7</v>
      </c>
      <c r="V5" s="37">
        <v>0.95</v>
      </c>
      <c r="W5" s="37">
        <v>1.6419999999999999</v>
      </c>
      <c r="X5" s="37">
        <v>0.97</v>
      </c>
      <c r="Y5" s="37">
        <v>1.7</v>
      </c>
      <c r="Z5" s="37">
        <v>0.97</v>
      </c>
      <c r="AA5" s="38"/>
      <c r="AB5" s="39" t="s">
        <v>37</v>
      </c>
      <c r="AC5" s="40">
        <v>1</v>
      </c>
      <c r="AD5" s="41">
        <v>0</v>
      </c>
      <c r="AE5" s="42">
        <v>1.0249999999999999</v>
      </c>
      <c r="AF5" s="43">
        <f t="shared" ref="AF5:AF13" si="0">AF6+0.012</f>
        <v>1.1200000000000001</v>
      </c>
      <c r="AG5" s="43">
        <f t="shared" ref="AG5:AG13" si="1">AG6+0.015</f>
        <v>1.149999999999999</v>
      </c>
    </row>
    <row r="6" spans="1:35" x14ac:dyDescent="0.2">
      <c r="A6" s="7"/>
      <c r="B6" s="26"/>
      <c r="C6" s="44"/>
      <c r="D6" s="45"/>
      <c r="E6" s="29"/>
      <c r="F6" s="30"/>
      <c r="G6" s="30"/>
      <c r="H6" s="31"/>
      <c r="I6" s="32"/>
      <c r="J6" s="32"/>
      <c r="K6" s="31"/>
      <c r="L6" s="7"/>
      <c r="M6" s="46" t="str">
        <f>""</f>
        <v/>
      </c>
      <c r="N6" s="47" t="s">
        <v>38</v>
      </c>
      <c r="O6" s="48">
        <v>30000</v>
      </c>
      <c r="P6" s="35">
        <v>200000</v>
      </c>
      <c r="R6" s="36">
        <v>1.25</v>
      </c>
      <c r="S6" s="37">
        <v>1.35</v>
      </c>
      <c r="T6" s="37">
        <v>0.96</v>
      </c>
      <c r="U6" s="37">
        <v>1.425</v>
      </c>
      <c r="V6" s="37">
        <v>0.96</v>
      </c>
      <c r="W6" s="37">
        <v>1.365</v>
      </c>
      <c r="X6" s="37">
        <v>0.97499999999999998</v>
      </c>
      <c r="Y6" s="37">
        <v>1.425</v>
      </c>
      <c r="Z6" s="37">
        <v>0.97499999999999998</v>
      </c>
      <c r="AA6" s="38"/>
      <c r="AB6" s="39" t="s">
        <v>39</v>
      </c>
      <c r="AC6" s="49">
        <v>1.2</v>
      </c>
      <c r="AD6" s="41">
        <v>0.01</v>
      </c>
      <c r="AE6" s="43">
        <v>1.0225</v>
      </c>
      <c r="AF6" s="43">
        <f t="shared" si="0"/>
        <v>1.1080000000000001</v>
      </c>
      <c r="AG6" s="43">
        <f t="shared" si="1"/>
        <v>1.1349999999999991</v>
      </c>
    </row>
    <row r="7" spans="1:35" x14ac:dyDescent="0.2">
      <c r="A7" s="7"/>
      <c r="B7" s="50"/>
      <c r="C7" s="44"/>
      <c r="D7" s="45"/>
      <c r="E7" s="29"/>
      <c r="F7" s="30"/>
      <c r="G7" s="51"/>
      <c r="H7" s="31"/>
      <c r="I7" s="32"/>
      <c r="J7" s="32"/>
      <c r="K7" s="31"/>
      <c r="L7" s="7"/>
      <c r="M7" s="46" t="str">
        <f>""</f>
        <v/>
      </c>
      <c r="N7" s="47" t="s">
        <v>40</v>
      </c>
      <c r="O7" s="48">
        <v>30000</v>
      </c>
      <c r="P7" s="35">
        <v>200000</v>
      </c>
      <c r="R7" s="36">
        <v>1.5</v>
      </c>
      <c r="S7" s="52">
        <v>1.17</v>
      </c>
      <c r="T7" s="52">
        <v>0.97</v>
      </c>
      <c r="U7" s="52">
        <v>1.25</v>
      </c>
      <c r="V7" s="52">
        <v>0.97</v>
      </c>
      <c r="W7" s="52">
        <v>1.175</v>
      </c>
      <c r="X7" s="52">
        <v>0.98</v>
      </c>
      <c r="Y7" s="52">
        <v>1.25</v>
      </c>
      <c r="Z7" s="52">
        <v>0.98</v>
      </c>
      <c r="AA7" s="38"/>
      <c r="AB7" s="39" t="s">
        <v>41</v>
      </c>
      <c r="AC7" s="49">
        <v>1.3</v>
      </c>
      <c r="AD7" s="41">
        <v>0.02</v>
      </c>
      <c r="AE7" s="43">
        <v>1.02</v>
      </c>
      <c r="AF7" s="43">
        <f t="shared" si="0"/>
        <v>1.0960000000000001</v>
      </c>
      <c r="AG7" s="43">
        <f t="shared" si="1"/>
        <v>1.1199999999999992</v>
      </c>
    </row>
    <row r="8" spans="1:35" x14ac:dyDescent="0.2">
      <c r="A8" s="7"/>
      <c r="B8" s="53"/>
      <c r="C8" s="27"/>
      <c r="D8" s="45"/>
      <c r="E8" s="29"/>
      <c r="F8" s="30"/>
      <c r="G8" s="51"/>
      <c r="H8" s="31" t="str">
        <f t="shared" ref="H8:H27" si="2">IF(OR(F8="",G8=""),"",G8/(F8*E8))</f>
        <v/>
      </c>
      <c r="I8" s="32"/>
      <c r="J8" s="32"/>
      <c r="K8" s="31" t="str">
        <f t="shared" ref="K8:K27" si="3">IF(OR(I8="",J8=""),"",J8/(I8*E8))</f>
        <v/>
      </c>
      <c r="L8" s="7"/>
      <c r="M8" s="46" t="s">
        <v>42</v>
      </c>
      <c r="N8" s="47" t="s">
        <v>43</v>
      </c>
      <c r="O8" s="48">
        <v>20000</v>
      </c>
      <c r="P8" s="48">
        <v>100000</v>
      </c>
      <c r="R8" s="36">
        <v>1.75</v>
      </c>
      <c r="S8" s="52">
        <v>1.07</v>
      </c>
      <c r="T8" s="52">
        <v>0.98</v>
      </c>
      <c r="U8" s="52">
        <v>1.1000000000000001</v>
      </c>
      <c r="V8" s="52">
        <v>0.98</v>
      </c>
      <c r="W8" s="52">
        <v>1.0725</v>
      </c>
      <c r="X8" s="52">
        <v>0.99</v>
      </c>
      <c r="Y8" s="52">
        <v>1.1000000000000001</v>
      </c>
      <c r="Z8" s="52">
        <v>0.99</v>
      </c>
      <c r="AA8" s="38"/>
      <c r="AD8" s="41">
        <v>0.03</v>
      </c>
      <c r="AE8" s="43">
        <v>1.0175000000000001</v>
      </c>
      <c r="AF8" s="43">
        <f t="shared" si="0"/>
        <v>1.0840000000000001</v>
      </c>
      <c r="AG8" s="43">
        <f t="shared" si="1"/>
        <v>1.1049999999999993</v>
      </c>
    </row>
    <row r="9" spans="1:35" x14ac:dyDescent="0.2">
      <c r="A9" s="7"/>
      <c r="B9" s="26"/>
      <c r="C9" s="27"/>
      <c r="D9" s="45"/>
      <c r="E9" s="29"/>
      <c r="F9" s="30"/>
      <c r="G9" s="30"/>
      <c r="H9" s="31"/>
      <c r="I9" s="32"/>
      <c r="J9" s="32"/>
      <c r="K9" s="31"/>
      <c r="L9" s="7"/>
      <c r="M9" s="46" t="str">
        <f>""</f>
        <v/>
      </c>
      <c r="N9" s="47" t="s">
        <v>44</v>
      </c>
      <c r="O9" s="48">
        <v>20000</v>
      </c>
      <c r="P9" s="48">
        <v>100000</v>
      </c>
      <c r="R9" s="54">
        <v>2</v>
      </c>
      <c r="S9" s="55">
        <v>1</v>
      </c>
      <c r="T9" s="55">
        <v>1</v>
      </c>
      <c r="U9" s="55">
        <v>1</v>
      </c>
      <c r="V9" s="55">
        <v>1</v>
      </c>
      <c r="W9" s="55">
        <v>1</v>
      </c>
      <c r="X9" s="55">
        <v>1</v>
      </c>
      <c r="Y9" s="55">
        <v>1</v>
      </c>
      <c r="Z9" s="55">
        <v>1</v>
      </c>
      <c r="AA9" s="38"/>
      <c r="AB9" s="56"/>
      <c r="AC9" s="56"/>
      <c r="AD9" s="41">
        <v>0.04</v>
      </c>
      <c r="AE9" s="43">
        <v>1.0149999999999999</v>
      </c>
      <c r="AF9" s="43">
        <f t="shared" si="0"/>
        <v>1.0720000000000001</v>
      </c>
      <c r="AG9" s="43">
        <f t="shared" si="1"/>
        <v>1.0899999999999994</v>
      </c>
    </row>
    <row r="10" spans="1:35" x14ac:dyDescent="0.2">
      <c r="A10" s="7"/>
      <c r="B10" s="26"/>
      <c r="C10" s="44"/>
      <c r="D10" s="45"/>
      <c r="E10" s="29"/>
      <c r="F10" s="30"/>
      <c r="G10" s="30"/>
      <c r="H10" s="31"/>
      <c r="I10" s="32"/>
      <c r="J10" s="32"/>
      <c r="K10" s="31"/>
      <c r="L10" s="7"/>
      <c r="M10" s="46" t="str">
        <f>""</f>
        <v/>
      </c>
      <c r="N10" s="47" t="s">
        <v>45</v>
      </c>
      <c r="O10" s="48">
        <v>20000</v>
      </c>
      <c r="P10" s="48">
        <v>100000</v>
      </c>
      <c r="R10" s="36">
        <v>2.5</v>
      </c>
      <c r="S10" s="52">
        <v>0.94499999999999995</v>
      </c>
      <c r="T10" s="52">
        <v>1.03</v>
      </c>
      <c r="U10" s="52">
        <v>0.94499999999999995</v>
      </c>
      <c r="V10" s="52">
        <v>1.03</v>
      </c>
      <c r="W10" s="52">
        <v>0.94499999999999995</v>
      </c>
      <c r="X10" s="52">
        <v>1.02</v>
      </c>
      <c r="Y10" s="52">
        <v>0.94499999999999995</v>
      </c>
      <c r="Z10" s="52">
        <v>1.02</v>
      </c>
      <c r="AA10" s="38"/>
      <c r="AB10" s="56"/>
      <c r="AC10" s="56"/>
      <c r="AD10" s="41">
        <v>0.05</v>
      </c>
      <c r="AE10" s="43">
        <v>1.0125</v>
      </c>
      <c r="AF10" s="43">
        <f t="shared" si="0"/>
        <v>1.06</v>
      </c>
      <c r="AG10" s="43">
        <f t="shared" si="1"/>
        <v>1.0749999999999995</v>
      </c>
    </row>
    <row r="11" spans="1:35" x14ac:dyDescent="0.2">
      <c r="A11" s="7"/>
      <c r="B11" s="57">
        <v>20000</v>
      </c>
      <c r="C11" s="44" t="s">
        <v>46</v>
      </c>
      <c r="D11" s="45">
        <v>20600</v>
      </c>
      <c r="E11" s="29">
        <v>2</v>
      </c>
      <c r="F11" s="30">
        <v>18000</v>
      </c>
      <c r="G11" s="30">
        <v>2340000</v>
      </c>
      <c r="H11" s="31">
        <f>IF(OR(F11="",G11=""),"",G11/(F11*E11))</f>
        <v>65</v>
      </c>
      <c r="I11" s="32">
        <v>9750</v>
      </c>
      <c r="J11" s="32">
        <f t="shared" ref="J11" si="4">G11</f>
        <v>2340000</v>
      </c>
      <c r="K11" s="31">
        <f t="shared" si="3"/>
        <v>120</v>
      </c>
      <c r="L11" s="7"/>
      <c r="M11" s="46" t="str">
        <f>""</f>
        <v/>
      </c>
      <c r="N11" s="47" t="s">
        <v>47</v>
      </c>
      <c r="O11" s="48">
        <v>20000</v>
      </c>
      <c r="P11" s="48">
        <v>100000</v>
      </c>
      <c r="R11" s="36">
        <v>3</v>
      </c>
      <c r="S11" s="52">
        <v>0.90300000000000002</v>
      </c>
      <c r="T11" s="52">
        <v>1.05</v>
      </c>
      <c r="U11" s="52">
        <v>0.90300000000000002</v>
      </c>
      <c r="V11" s="52">
        <v>1.05</v>
      </c>
      <c r="W11" s="52">
        <v>0.90300000000000002</v>
      </c>
      <c r="X11" s="52">
        <v>1.05</v>
      </c>
      <c r="Y11" s="52">
        <v>0.90300000000000002</v>
      </c>
      <c r="Z11" s="52">
        <v>1.0349999999999999</v>
      </c>
      <c r="AA11" s="38"/>
      <c r="AB11" s="56"/>
      <c r="AC11" s="56"/>
      <c r="AD11" s="41">
        <v>0.06</v>
      </c>
      <c r="AE11" s="43">
        <v>1.01</v>
      </c>
      <c r="AF11" s="43">
        <f t="shared" si="0"/>
        <v>1.048</v>
      </c>
      <c r="AG11" s="43">
        <f t="shared" si="1"/>
        <v>1.0599999999999996</v>
      </c>
    </row>
    <row r="12" spans="1:35" x14ac:dyDescent="0.2">
      <c r="A12" s="7"/>
      <c r="B12" s="53"/>
      <c r="C12" s="27"/>
      <c r="D12" s="45"/>
      <c r="E12" s="29"/>
      <c r="F12" s="30"/>
      <c r="G12" s="51"/>
      <c r="H12" s="31" t="str">
        <f t="shared" si="2"/>
        <v/>
      </c>
      <c r="I12" s="32"/>
      <c r="J12" s="32"/>
      <c r="K12" s="31" t="str">
        <f t="shared" si="3"/>
        <v/>
      </c>
      <c r="L12" s="7"/>
      <c r="M12" s="46" t="str">
        <f>""</f>
        <v/>
      </c>
      <c r="N12" s="47" t="s">
        <v>48</v>
      </c>
      <c r="O12" s="48">
        <v>20000</v>
      </c>
      <c r="P12" s="48">
        <v>100000</v>
      </c>
      <c r="R12" s="36">
        <v>3.5</v>
      </c>
      <c r="S12" s="52">
        <v>0.876</v>
      </c>
      <c r="T12" s="52">
        <v>1.07</v>
      </c>
      <c r="U12" s="52">
        <v>0.876</v>
      </c>
      <c r="V12" s="52">
        <v>1.07</v>
      </c>
      <c r="W12" s="52">
        <v>0.876</v>
      </c>
      <c r="X12" s="52">
        <v>1.0649999999999999</v>
      </c>
      <c r="Y12" s="52">
        <v>0.876</v>
      </c>
      <c r="Z12" s="52">
        <v>1.05</v>
      </c>
      <c r="AA12" s="38"/>
      <c r="AB12" s="56"/>
      <c r="AC12" s="56"/>
      <c r="AD12" s="41">
        <v>7.0000000000000007E-2</v>
      </c>
      <c r="AE12" s="43">
        <v>1.0075000000000001</v>
      </c>
      <c r="AF12" s="43">
        <f t="shared" si="0"/>
        <v>1.036</v>
      </c>
      <c r="AG12" s="43">
        <f t="shared" si="1"/>
        <v>1.0449999999999997</v>
      </c>
    </row>
    <row r="13" spans="1:35" x14ac:dyDescent="0.2">
      <c r="A13" s="7"/>
      <c r="B13" s="26"/>
      <c r="C13" s="27"/>
      <c r="D13" s="45"/>
      <c r="E13" s="29"/>
      <c r="F13" s="30"/>
      <c r="G13" s="30"/>
      <c r="H13" s="31"/>
      <c r="I13" s="32"/>
      <c r="J13" s="32"/>
      <c r="K13" s="31"/>
      <c r="L13" s="7"/>
      <c r="M13" s="46" t="s">
        <v>49</v>
      </c>
      <c r="N13" s="47" t="s">
        <v>50</v>
      </c>
      <c r="O13" s="48">
        <v>20000</v>
      </c>
      <c r="P13" s="48">
        <v>200000</v>
      </c>
      <c r="R13" s="36">
        <v>4</v>
      </c>
      <c r="S13" s="52">
        <v>0.86</v>
      </c>
      <c r="T13" s="52">
        <v>1.075</v>
      </c>
      <c r="U13" s="52">
        <v>0.86</v>
      </c>
      <c r="V13" s="52">
        <v>1.075</v>
      </c>
      <c r="W13" s="52">
        <v>0.86</v>
      </c>
      <c r="X13" s="52">
        <v>1.075</v>
      </c>
      <c r="Y13" s="52">
        <v>0.86</v>
      </c>
      <c r="Z13" s="52">
        <v>1.06</v>
      </c>
      <c r="AA13" s="38"/>
      <c r="AB13" s="56"/>
      <c r="AC13" s="56"/>
      <c r="AD13" s="41">
        <v>0.08</v>
      </c>
      <c r="AE13" s="43">
        <v>1.0049999999999999</v>
      </c>
      <c r="AF13" s="43">
        <f t="shared" si="0"/>
        <v>1.024</v>
      </c>
      <c r="AG13" s="43">
        <f t="shared" si="1"/>
        <v>1.0299999999999998</v>
      </c>
    </row>
    <row r="14" spans="1:35" x14ac:dyDescent="0.2">
      <c r="A14" s="7"/>
      <c r="B14" s="26"/>
      <c r="C14" s="44"/>
      <c r="D14" s="45"/>
      <c r="E14" s="29"/>
      <c r="F14" s="30"/>
      <c r="G14" s="30"/>
      <c r="H14" s="31"/>
      <c r="I14" s="32"/>
      <c r="J14" s="32"/>
      <c r="K14" s="31"/>
      <c r="L14" s="7"/>
      <c r="M14" s="46" t="str">
        <f>""</f>
        <v/>
      </c>
      <c r="N14" s="47" t="s">
        <v>51</v>
      </c>
      <c r="O14" s="48">
        <v>20000</v>
      </c>
      <c r="P14" s="48">
        <v>200000</v>
      </c>
      <c r="R14" s="36">
        <v>4.5</v>
      </c>
      <c r="S14" s="52">
        <v>0.85</v>
      </c>
      <c r="T14" s="52">
        <v>1.08</v>
      </c>
      <c r="U14" s="52">
        <v>0.85</v>
      </c>
      <c r="V14" s="52">
        <v>1.08</v>
      </c>
      <c r="W14" s="52">
        <v>0.85</v>
      </c>
      <c r="X14" s="52">
        <v>1.08</v>
      </c>
      <c r="Y14" s="52">
        <v>0.85</v>
      </c>
      <c r="Z14" s="52">
        <v>1.07</v>
      </c>
      <c r="AA14" s="38"/>
      <c r="AB14" s="56"/>
      <c r="AC14" s="56"/>
      <c r="AD14" s="41">
        <v>0.09</v>
      </c>
      <c r="AE14" s="43">
        <v>1.0024999999999999</v>
      </c>
      <c r="AF14" s="43">
        <f>AF15+0.012</f>
        <v>1.012</v>
      </c>
      <c r="AG14" s="43">
        <f>AG15+0.015</f>
        <v>1.0149999999999999</v>
      </c>
      <c r="AI14" s="58"/>
    </row>
    <row r="15" spans="1:35" x14ac:dyDescent="0.2">
      <c r="A15" s="7"/>
      <c r="B15" s="26"/>
      <c r="C15" s="44"/>
      <c r="D15" s="45"/>
      <c r="E15" s="29"/>
      <c r="F15" s="30"/>
      <c r="G15" s="30"/>
      <c r="H15" s="31"/>
      <c r="I15" s="32"/>
      <c r="J15" s="32"/>
      <c r="K15" s="31"/>
      <c r="L15" s="7"/>
      <c r="M15" s="46" t="str">
        <f>""</f>
        <v/>
      </c>
      <c r="N15" s="47" t="s">
        <v>52</v>
      </c>
      <c r="O15" s="48">
        <v>20000</v>
      </c>
      <c r="P15" s="48">
        <v>200000</v>
      </c>
      <c r="R15" s="36">
        <v>5</v>
      </c>
      <c r="S15" s="52">
        <v>0.84</v>
      </c>
      <c r="T15" s="52">
        <v>1.085</v>
      </c>
      <c r="U15" s="52">
        <v>0.84</v>
      </c>
      <c r="V15" s="52">
        <v>1.085</v>
      </c>
      <c r="W15" s="52">
        <v>0.84</v>
      </c>
      <c r="X15" s="52">
        <v>1.085</v>
      </c>
      <c r="Y15" s="52">
        <v>0.84</v>
      </c>
      <c r="Z15" s="52">
        <v>1.08</v>
      </c>
      <c r="AA15" s="38"/>
      <c r="AB15" s="56"/>
      <c r="AC15" s="56"/>
      <c r="AD15" s="41">
        <v>0.1</v>
      </c>
      <c r="AE15" s="43">
        <v>1</v>
      </c>
      <c r="AF15" s="43">
        <v>1</v>
      </c>
      <c r="AG15" s="43">
        <v>1</v>
      </c>
    </row>
    <row r="16" spans="1:35" x14ac:dyDescent="0.2">
      <c r="A16" s="7"/>
      <c r="B16" s="53"/>
      <c r="C16" s="27"/>
      <c r="D16" s="45"/>
      <c r="E16" s="29"/>
      <c r="F16" s="30"/>
      <c r="G16" s="51"/>
      <c r="H16" s="31"/>
      <c r="I16" s="32"/>
      <c r="J16" s="32"/>
      <c r="K16" s="31"/>
      <c r="L16" s="7"/>
      <c r="M16" s="46" t="str">
        <f>""</f>
        <v/>
      </c>
      <c r="N16" s="47" t="s">
        <v>53</v>
      </c>
      <c r="O16" s="48">
        <v>20000</v>
      </c>
      <c r="P16" s="48">
        <v>200000</v>
      </c>
      <c r="AA16" s="38"/>
      <c r="AB16" s="56"/>
      <c r="AC16" s="56"/>
      <c r="AD16" s="41">
        <v>0.11</v>
      </c>
      <c r="AE16" s="43">
        <v>1</v>
      </c>
      <c r="AF16" s="43">
        <f>AF15-0.003</f>
        <v>0.997</v>
      </c>
      <c r="AG16" s="43">
        <v>0.99</v>
      </c>
    </row>
    <row r="17" spans="1:33" x14ac:dyDescent="0.2">
      <c r="A17" s="7"/>
      <c r="B17" s="26"/>
      <c r="C17" s="27"/>
      <c r="D17" s="45"/>
      <c r="E17" s="29"/>
      <c r="F17" s="30"/>
      <c r="G17" s="30"/>
      <c r="H17" s="31"/>
      <c r="I17" s="32"/>
      <c r="J17" s="32"/>
      <c r="K17" s="31"/>
      <c r="L17" s="7"/>
      <c r="M17" s="46" t="s">
        <v>54</v>
      </c>
      <c r="N17" s="47" t="s">
        <v>55</v>
      </c>
      <c r="O17" s="48">
        <v>25000</v>
      </c>
      <c r="P17" s="48">
        <v>100000</v>
      </c>
      <c r="AA17" s="38"/>
      <c r="AB17" s="56"/>
      <c r="AC17" s="56"/>
      <c r="AD17" s="41">
        <v>0.12</v>
      </c>
      <c r="AE17" s="43">
        <v>1</v>
      </c>
      <c r="AF17" s="43">
        <f t="shared" ref="AF17:AF25" si="5">AF16-0.003</f>
        <v>0.99399999999999999</v>
      </c>
      <c r="AG17" s="43">
        <v>0.98</v>
      </c>
    </row>
    <row r="18" spans="1:33" x14ac:dyDescent="0.2">
      <c r="A18" s="7"/>
      <c r="B18" s="26"/>
      <c r="C18" s="44"/>
      <c r="D18" s="45"/>
      <c r="E18" s="29"/>
      <c r="F18" s="30"/>
      <c r="G18" s="30"/>
      <c r="H18" s="31"/>
      <c r="I18" s="32"/>
      <c r="J18" s="32"/>
      <c r="K18" s="31"/>
      <c r="L18" s="7"/>
      <c r="M18" s="46" t="str">
        <f>""</f>
        <v/>
      </c>
      <c r="N18" s="47" t="s">
        <v>56</v>
      </c>
      <c r="O18" s="48">
        <v>25000</v>
      </c>
      <c r="P18" s="48">
        <v>100000</v>
      </c>
      <c r="AA18" s="38"/>
      <c r="AB18" s="56"/>
      <c r="AC18" s="56"/>
      <c r="AD18" s="41">
        <v>0.13</v>
      </c>
      <c r="AE18" s="43">
        <v>1</v>
      </c>
      <c r="AF18" s="43">
        <f t="shared" si="5"/>
        <v>0.99099999999999999</v>
      </c>
      <c r="AG18" s="43">
        <v>0.97</v>
      </c>
    </row>
    <row r="19" spans="1:33" x14ac:dyDescent="0.2">
      <c r="A19" s="7"/>
      <c r="B19" s="57">
        <v>24000</v>
      </c>
      <c r="C19" s="44" t="s">
        <v>46</v>
      </c>
      <c r="D19" s="45">
        <v>24200</v>
      </c>
      <c r="E19" s="29">
        <v>2</v>
      </c>
      <c r="F19" s="30">
        <v>16000</v>
      </c>
      <c r="G19" s="30">
        <v>2400000</v>
      </c>
      <c r="H19" s="31">
        <f t="shared" si="2"/>
        <v>75</v>
      </c>
      <c r="I19" s="32">
        <v>9750</v>
      </c>
      <c r="J19" s="32">
        <v>2500000</v>
      </c>
      <c r="K19" s="31">
        <f>IF(OR(I19="",J19=""),"",J19/(I19*E19))</f>
        <v>128.2051282051282</v>
      </c>
      <c r="L19" s="7"/>
      <c r="M19" s="46" t="str">
        <f>""</f>
        <v/>
      </c>
      <c r="N19" s="47" t="s">
        <v>57</v>
      </c>
      <c r="O19" s="48">
        <v>25000</v>
      </c>
      <c r="P19" s="48">
        <v>100000</v>
      </c>
      <c r="AA19" s="38"/>
      <c r="AB19" s="56"/>
      <c r="AC19" s="56"/>
      <c r="AD19" s="41">
        <v>0.14000000000000001</v>
      </c>
      <c r="AE19" s="43">
        <v>1</v>
      </c>
      <c r="AF19" s="43">
        <f t="shared" si="5"/>
        <v>0.98799999999999999</v>
      </c>
      <c r="AG19" s="43">
        <v>0.96</v>
      </c>
    </row>
    <row r="20" spans="1:33" x14ac:dyDescent="0.2">
      <c r="A20" s="7"/>
      <c r="B20" s="53"/>
      <c r="C20" s="27"/>
      <c r="D20" s="45"/>
      <c r="E20" s="29"/>
      <c r="F20" s="30"/>
      <c r="G20" s="51"/>
      <c r="H20" s="31" t="str">
        <f t="shared" si="2"/>
        <v/>
      </c>
      <c r="I20" s="32"/>
      <c r="J20" s="32"/>
      <c r="K20" s="31" t="str">
        <f t="shared" si="3"/>
        <v/>
      </c>
      <c r="L20" s="7"/>
      <c r="M20" s="46" t="str">
        <f>""</f>
        <v/>
      </c>
      <c r="N20" s="47" t="s">
        <v>58</v>
      </c>
      <c r="O20" s="48">
        <v>25000</v>
      </c>
      <c r="P20" s="48">
        <v>100000</v>
      </c>
      <c r="AA20" s="38"/>
      <c r="AB20" s="56"/>
      <c r="AC20" s="56"/>
      <c r="AD20" s="41">
        <v>0.15</v>
      </c>
      <c r="AE20" s="43">
        <v>1</v>
      </c>
      <c r="AF20" s="43">
        <f t="shared" si="5"/>
        <v>0.98499999999999999</v>
      </c>
      <c r="AG20" s="43">
        <v>0.95</v>
      </c>
    </row>
    <row r="21" spans="1:33" x14ac:dyDescent="0.2">
      <c r="A21" s="7"/>
      <c r="B21" s="26"/>
      <c r="C21" s="27"/>
      <c r="D21" s="45"/>
      <c r="E21" s="29"/>
      <c r="F21" s="30"/>
      <c r="G21" s="30"/>
      <c r="H21" s="31"/>
      <c r="I21" s="32"/>
      <c r="J21" s="32"/>
      <c r="K21" s="31"/>
      <c r="L21" s="7"/>
      <c r="M21" s="46" t="str">
        <f>""</f>
        <v/>
      </c>
      <c r="N21" s="47" t="s">
        <v>59</v>
      </c>
      <c r="O21" s="48">
        <v>25000</v>
      </c>
      <c r="P21" s="48">
        <v>100000</v>
      </c>
      <c r="S21" s="58"/>
      <c r="AA21" s="38"/>
      <c r="AB21" s="56"/>
      <c r="AC21" s="56"/>
      <c r="AD21" s="41">
        <v>0.16</v>
      </c>
      <c r="AE21" s="43">
        <v>1</v>
      </c>
      <c r="AF21" s="43">
        <f t="shared" si="5"/>
        <v>0.98199999999999998</v>
      </c>
      <c r="AG21" s="43">
        <v>0.94</v>
      </c>
    </row>
    <row r="22" spans="1:33" x14ac:dyDescent="0.2">
      <c r="A22" s="7"/>
      <c r="B22" s="26"/>
      <c r="C22" s="44"/>
      <c r="D22" s="45"/>
      <c r="E22" s="29"/>
      <c r="F22" s="30"/>
      <c r="G22" s="30"/>
      <c r="H22" s="31"/>
      <c r="I22" s="32"/>
      <c r="J22" s="32"/>
      <c r="K22" s="31"/>
      <c r="L22" s="7"/>
      <c r="M22" s="46" t="str">
        <f>""</f>
        <v/>
      </c>
      <c r="N22" s="47" t="s">
        <v>60</v>
      </c>
      <c r="O22" s="48">
        <v>25000</v>
      </c>
      <c r="P22" s="48">
        <v>100000</v>
      </c>
      <c r="R22" s="59"/>
      <c r="AA22" s="38"/>
      <c r="AB22" s="56"/>
      <c r="AC22" s="56"/>
      <c r="AD22" s="41">
        <v>0.17</v>
      </c>
      <c r="AE22" s="43">
        <v>1</v>
      </c>
      <c r="AF22" s="43">
        <f t="shared" si="5"/>
        <v>0.97899999999999998</v>
      </c>
      <c r="AG22" s="43">
        <v>0.92999999999999994</v>
      </c>
    </row>
    <row r="23" spans="1:33" x14ac:dyDescent="0.2">
      <c r="A23" s="7"/>
      <c r="B23" s="26"/>
      <c r="C23" s="44"/>
      <c r="D23" s="45"/>
      <c r="E23" s="29"/>
      <c r="F23" s="30"/>
      <c r="G23" s="30"/>
      <c r="H23" s="31"/>
      <c r="I23" s="32"/>
      <c r="J23" s="32"/>
      <c r="K23" s="31"/>
      <c r="L23" s="7"/>
      <c r="M23" s="46" t="str">
        <f>""</f>
        <v/>
      </c>
      <c r="N23" s="47"/>
      <c r="O23" s="60" t="str">
        <f>""</f>
        <v/>
      </c>
      <c r="P23" s="60" t="str">
        <f>""</f>
        <v/>
      </c>
      <c r="R23" s="59"/>
      <c r="AA23" s="38"/>
      <c r="AB23" s="56"/>
      <c r="AC23" s="56"/>
      <c r="AD23" s="41">
        <v>0.18</v>
      </c>
      <c r="AE23" s="43">
        <v>1</v>
      </c>
      <c r="AF23" s="43">
        <f t="shared" si="5"/>
        <v>0.97599999999999998</v>
      </c>
      <c r="AG23" s="43">
        <v>0.91999999999999993</v>
      </c>
    </row>
    <row r="24" spans="1:33" x14ac:dyDescent="0.2">
      <c r="A24" s="7"/>
      <c r="B24" s="53"/>
      <c r="C24" s="27"/>
      <c r="D24" s="45"/>
      <c r="E24" s="29"/>
      <c r="F24" s="30"/>
      <c r="G24" s="51"/>
      <c r="H24" s="31" t="str">
        <f t="shared" si="2"/>
        <v/>
      </c>
      <c r="I24" s="32"/>
      <c r="J24" s="32"/>
      <c r="K24" s="31" t="str">
        <f t="shared" si="3"/>
        <v/>
      </c>
      <c r="L24" s="7"/>
      <c r="M24" s="46" t="str">
        <f>""</f>
        <v/>
      </c>
      <c r="N24" s="47" t="str">
        <f>""</f>
        <v/>
      </c>
      <c r="O24" s="60" t="str">
        <f>""</f>
        <v/>
      </c>
      <c r="P24" s="60" t="str">
        <f>""</f>
        <v/>
      </c>
      <c r="R24" s="59"/>
      <c r="AA24" s="38"/>
      <c r="AB24" s="56"/>
      <c r="AC24" s="56"/>
      <c r="AD24" s="41">
        <v>0.19</v>
      </c>
      <c r="AE24" s="43">
        <v>1</v>
      </c>
      <c r="AF24" s="43">
        <f t="shared" si="5"/>
        <v>0.97299999999999998</v>
      </c>
      <c r="AG24" s="43">
        <v>0.90999999999999992</v>
      </c>
    </row>
    <row r="25" spans="1:33" x14ac:dyDescent="0.2">
      <c r="A25" s="7"/>
      <c r="B25" s="26"/>
      <c r="C25" s="27"/>
      <c r="D25" s="45"/>
      <c r="E25" s="29"/>
      <c r="F25" s="30"/>
      <c r="G25" s="30"/>
      <c r="H25" s="31"/>
      <c r="I25" s="32"/>
      <c r="J25" s="32"/>
      <c r="K25" s="31"/>
      <c r="L25" s="7"/>
      <c r="M25" s="46" t="str">
        <f>""</f>
        <v/>
      </c>
      <c r="N25" s="47" t="str">
        <f>""</f>
        <v/>
      </c>
      <c r="O25" s="60" t="str">
        <f>""</f>
        <v/>
      </c>
      <c r="P25" s="60" t="str">
        <f>""</f>
        <v/>
      </c>
      <c r="R25" s="59"/>
      <c r="AA25" s="38"/>
      <c r="AB25" s="56"/>
      <c r="AC25" s="61"/>
      <c r="AD25" s="41">
        <v>0.2</v>
      </c>
      <c r="AE25" s="43">
        <v>1</v>
      </c>
      <c r="AF25" s="43">
        <f t="shared" si="5"/>
        <v>0.97</v>
      </c>
      <c r="AG25" s="43">
        <v>0.9</v>
      </c>
    </row>
    <row r="26" spans="1:33" x14ac:dyDescent="0.2">
      <c r="A26" s="7"/>
      <c r="B26" s="26"/>
      <c r="C26" s="44"/>
      <c r="D26" s="45"/>
      <c r="E26" s="29"/>
      <c r="F26" s="30"/>
      <c r="G26" s="30"/>
      <c r="H26" s="31"/>
      <c r="I26" s="32"/>
      <c r="J26" s="32"/>
      <c r="K26" s="31"/>
      <c r="L26" s="7"/>
      <c r="M26" s="46" t="str">
        <f>""</f>
        <v/>
      </c>
      <c r="N26" s="47" t="s">
        <v>61</v>
      </c>
      <c r="O26" s="62" t="str">
        <f>""</f>
        <v/>
      </c>
      <c r="P26" s="62" t="str">
        <f>""</f>
        <v/>
      </c>
      <c r="R26" s="59"/>
      <c r="AA26" s="38"/>
      <c r="AB26" s="56"/>
    </row>
    <row r="27" spans="1:33" x14ac:dyDescent="0.2">
      <c r="A27" s="7"/>
      <c r="B27" s="57">
        <v>27000</v>
      </c>
      <c r="C27" s="44" t="s">
        <v>46</v>
      </c>
      <c r="D27" s="45">
        <v>27300</v>
      </c>
      <c r="E27" s="29">
        <v>2</v>
      </c>
      <c r="F27" s="30">
        <v>12500</v>
      </c>
      <c r="G27" s="30">
        <v>2350000</v>
      </c>
      <c r="H27" s="31">
        <f t="shared" si="2"/>
        <v>94</v>
      </c>
      <c r="I27" s="32">
        <v>8500</v>
      </c>
      <c r="J27" s="32">
        <v>2400000</v>
      </c>
      <c r="K27" s="31">
        <f t="shared" si="3"/>
        <v>141.1764705882353</v>
      </c>
      <c r="L27" s="7"/>
      <c r="M27" s="46" t="str">
        <f>""</f>
        <v/>
      </c>
      <c r="N27" s="47" t="s">
        <v>61</v>
      </c>
      <c r="O27" s="62" t="str">
        <f>""</f>
        <v/>
      </c>
      <c r="P27" s="62" t="str">
        <f>""</f>
        <v/>
      </c>
      <c r="R27" s="59"/>
      <c r="AA27" s="38"/>
      <c r="AB27" s="56"/>
    </row>
    <row r="28" spans="1:33" ht="12" x14ac:dyDescent="0.2">
      <c r="A28" s="7"/>
      <c r="B28" s="63"/>
      <c r="C28" s="63"/>
      <c r="D28" s="63"/>
      <c r="E28" s="64"/>
      <c r="F28" s="65"/>
      <c r="G28" s="66"/>
      <c r="H28" s="31"/>
      <c r="I28" s="65"/>
      <c r="J28" s="65"/>
      <c r="K28" s="31"/>
      <c r="L28" s="7"/>
      <c r="M28" s="46" t="str">
        <f>""</f>
        <v/>
      </c>
      <c r="N28" s="47" t="s">
        <v>61</v>
      </c>
      <c r="O28" s="62" t="str">
        <f>""</f>
        <v/>
      </c>
      <c r="P28" s="62" t="str">
        <f>""</f>
        <v/>
      </c>
      <c r="R28" s="59"/>
      <c r="AA28" s="38"/>
      <c r="AB28" s="56"/>
      <c r="AF28" s="67"/>
    </row>
    <row r="29" spans="1:33" ht="12" x14ac:dyDescent="0.2">
      <c r="A29" s="7"/>
      <c r="B29" s="50"/>
      <c r="C29" s="44"/>
      <c r="D29" s="45"/>
      <c r="E29" s="64"/>
      <c r="F29" s="68"/>
      <c r="G29" s="68"/>
      <c r="H29" s="31"/>
      <c r="I29" s="68"/>
      <c r="J29" s="69"/>
      <c r="K29" s="31"/>
      <c r="L29" s="7"/>
      <c r="M29" s="46" t="str">
        <f>""</f>
        <v/>
      </c>
      <c r="N29" s="70" t="s">
        <v>61</v>
      </c>
      <c r="O29" s="71" t="str">
        <f>""</f>
        <v/>
      </c>
      <c r="P29" s="71" t="str">
        <f>""</f>
        <v/>
      </c>
      <c r="R29" s="59"/>
      <c r="AA29" s="38"/>
      <c r="AB29" s="56"/>
      <c r="AF29" s="67"/>
    </row>
    <row r="30" spans="1:33" ht="12" x14ac:dyDescent="0.2">
      <c r="A30" s="7"/>
      <c r="B30" s="50"/>
      <c r="C30" s="44"/>
      <c r="D30" s="45"/>
      <c r="E30" s="64"/>
      <c r="F30" s="68"/>
      <c r="G30" s="68"/>
      <c r="H30" s="31"/>
      <c r="I30" s="68"/>
      <c r="J30" s="69"/>
      <c r="K30" s="31"/>
      <c r="L30" s="7"/>
      <c r="M30" s="72"/>
      <c r="N30" s="73">
        <f>COUNT(O5:O29)</f>
        <v>18</v>
      </c>
      <c r="O30" s="74">
        <f>ROUND(AVERAGE(O5:O22),-3)</f>
        <v>23000</v>
      </c>
      <c r="P30" s="74">
        <f>ROUND(SUM(P5:P23),-3)</f>
        <v>2500000</v>
      </c>
      <c r="R30" s="59"/>
      <c r="AA30" s="38"/>
      <c r="AB30" s="56"/>
      <c r="AF30" s="67"/>
    </row>
    <row r="31" spans="1:33" ht="12" x14ac:dyDescent="0.2">
      <c r="A31" s="7"/>
      <c r="B31" s="50"/>
      <c r="C31" s="44"/>
      <c r="D31" s="45"/>
      <c r="E31" s="29"/>
      <c r="F31" s="68"/>
      <c r="G31" s="75"/>
      <c r="H31" s="31"/>
      <c r="I31" s="68"/>
      <c r="J31" s="69"/>
      <c r="K31" s="31"/>
      <c r="L31" s="7"/>
      <c r="M31" s="7"/>
      <c r="N31" s="7"/>
      <c r="O31" s="7"/>
      <c r="P31" s="7"/>
      <c r="R31" s="59"/>
      <c r="AA31" s="38"/>
      <c r="AB31" s="56"/>
      <c r="AF31" s="67"/>
    </row>
    <row r="32" spans="1:33" x14ac:dyDescent="0.2">
      <c r="A32" s="7"/>
      <c r="B32" s="50"/>
      <c r="C32" s="44"/>
      <c r="D32" s="45"/>
      <c r="E32" s="64"/>
      <c r="F32" s="68"/>
      <c r="G32" s="68"/>
      <c r="H32" s="31"/>
      <c r="I32" s="68"/>
      <c r="J32" s="69"/>
      <c r="K32" s="31"/>
      <c r="L32" s="7"/>
      <c r="M32" s="7"/>
      <c r="N32" s="7"/>
      <c r="O32" s="7"/>
      <c r="P32" s="7"/>
      <c r="AA32" s="38"/>
      <c r="AB32" s="56"/>
    </row>
    <row r="33" spans="1:28" x14ac:dyDescent="0.2">
      <c r="A33" s="7"/>
      <c r="B33" s="50"/>
      <c r="C33" s="44"/>
      <c r="D33" s="45"/>
      <c r="E33" s="64"/>
      <c r="F33" s="68"/>
      <c r="G33" s="68"/>
      <c r="H33" s="31"/>
      <c r="I33" s="68"/>
      <c r="J33" s="69"/>
      <c r="K33" s="31"/>
      <c r="L33" s="7"/>
      <c r="M33" s="7"/>
      <c r="N33" s="7"/>
      <c r="O33" s="7"/>
      <c r="P33" s="7"/>
      <c r="AA33" s="38"/>
      <c r="AB33" s="56"/>
    </row>
    <row r="34" spans="1:28" x14ac:dyDescent="0.2">
      <c r="A34" s="7"/>
      <c r="B34" s="50"/>
      <c r="C34" s="44"/>
      <c r="D34" s="45"/>
      <c r="E34" s="64"/>
      <c r="F34" s="65"/>
      <c r="G34" s="76"/>
      <c r="H34" s="31"/>
      <c r="I34" s="65"/>
      <c r="J34" s="65"/>
      <c r="K34" s="31"/>
      <c r="L34" s="7"/>
      <c r="M34" s="7"/>
      <c r="N34" s="7"/>
      <c r="O34" s="7"/>
      <c r="P34" s="7"/>
    </row>
    <row r="35" spans="1:28" x14ac:dyDescent="0.2">
      <c r="A35" s="7"/>
      <c r="B35" s="50"/>
      <c r="C35" s="44"/>
      <c r="D35" s="45"/>
      <c r="E35" s="64"/>
      <c r="F35" s="68"/>
      <c r="G35" s="68"/>
      <c r="H35" s="31"/>
      <c r="I35" s="68"/>
      <c r="J35" s="69"/>
      <c r="K35" s="31"/>
      <c r="L35" s="7"/>
      <c r="M35" s="7"/>
      <c r="N35" s="7"/>
      <c r="O35" s="7"/>
      <c r="P35" s="7"/>
    </row>
    <row r="36" spans="1:28" x14ac:dyDescent="0.2">
      <c r="A36" s="7"/>
      <c r="B36" s="50"/>
      <c r="C36" s="44"/>
      <c r="D36" s="45"/>
      <c r="E36" s="64"/>
      <c r="F36" s="68"/>
      <c r="G36" s="68"/>
      <c r="H36" s="31"/>
      <c r="I36" s="68"/>
      <c r="J36" s="69"/>
      <c r="K36" s="31"/>
      <c r="L36" s="7"/>
      <c r="M36" s="7"/>
      <c r="N36" s="7"/>
      <c r="O36" s="7"/>
      <c r="P36" s="7"/>
    </row>
    <row r="37" spans="1:28" x14ac:dyDescent="0.2"/>
    <row r="38" spans="1:28" x14ac:dyDescent="0.2"/>
    <row r="39" spans="1:28" x14ac:dyDescent="0.2"/>
    <row r="40" spans="1:28" x14ac:dyDescent="0.2"/>
    <row r="41" spans="1:28" x14ac:dyDescent="0.2"/>
    <row r="42" spans="1:28" x14ac:dyDescent="0.2"/>
    <row r="43" spans="1:28" x14ac:dyDescent="0.2"/>
    <row r="44" spans="1:28" x14ac:dyDescent="0.2"/>
    <row r="45" spans="1:28" x14ac:dyDescent="0.2"/>
    <row r="46" spans="1:28" x14ac:dyDescent="0.2"/>
    <row r="47" spans="1:28" x14ac:dyDescent="0.2"/>
    <row r="48" spans="1:28" x14ac:dyDescent="0.2"/>
    <row r="49" x14ac:dyDescent="0.2"/>
    <row r="50" x14ac:dyDescent="0.2"/>
  </sheetData>
  <sheetProtection password="FFBD" sheet="1" objects="1" scenarios="1"/>
  <mergeCells count="5">
    <mergeCell ref="F3:H3"/>
    <mergeCell ref="I3:K3"/>
    <mergeCell ref="M3:P3"/>
    <mergeCell ref="S3:V3"/>
    <mergeCell ref="W3:Z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zoomScaleNormal="100" workbookViewId="0">
      <selection activeCell="D27" sqref="D27"/>
    </sheetView>
  </sheetViews>
  <sheetFormatPr defaultColWidth="0" defaultRowHeight="15" customHeight="1" zeroHeight="1" x14ac:dyDescent="0.25"/>
  <cols>
    <col min="1" max="15" width="9.140625" style="262" customWidth="1"/>
    <col min="16" max="16" width="9.140625" style="263" customWidth="1"/>
    <col min="17" max="16384" width="9.140625" style="263" hidden="1"/>
  </cols>
  <sheetData>
    <row r="1" spans="1:16" x14ac:dyDescent="0.25"/>
    <row r="2" spans="1:16" ht="21" x14ac:dyDescent="0.35">
      <c r="F2" s="264"/>
      <c r="G2" s="264" t="s">
        <v>151</v>
      </c>
    </row>
    <row r="3" spans="1:16" x14ac:dyDescent="0.25">
      <c r="P3" s="262"/>
    </row>
    <row r="4" spans="1:16" x14ac:dyDescent="0.25">
      <c r="A4" s="265"/>
      <c r="B4" s="265"/>
      <c r="C4" s="265"/>
      <c r="D4" s="265"/>
      <c r="E4" s="265"/>
      <c r="F4" s="265"/>
      <c r="G4" s="265"/>
      <c r="H4" s="265"/>
      <c r="I4" s="265"/>
      <c r="J4" s="265"/>
      <c r="K4" s="265"/>
      <c r="L4" s="265"/>
      <c r="M4" s="265"/>
      <c r="N4" s="265"/>
      <c r="O4" s="265"/>
      <c r="P4" s="265"/>
    </row>
    <row r="5" spans="1:16" x14ac:dyDescent="0.25">
      <c r="A5" s="266" t="s">
        <v>152</v>
      </c>
      <c r="B5" s="267"/>
      <c r="C5" s="267"/>
      <c r="D5" s="267"/>
      <c r="E5" s="267"/>
      <c r="F5" s="267"/>
      <c r="G5" s="267"/>
      <c r="H5" s="267"/>
      <c r="I5" s="267"/>
      <c r="J5" s="267"/>
      <c r="K5" s="267"/>
      <c r="L5" s="267"/>
      <c r="M5" s="267"/>
      <c r="N5" s="267"/>
      <c r="O5" s="267"/>
    </row>
    <row r="6" spans="1:16" x14ac:dyDescent="0.25">
      <c r="A6" s="268" t="s">
        <v>153</v>
      </c>
      <c r="B6" s="267"/>
      <c r="C6" s="267"/>
      <c r="D6" s="267"/>
      <c r="E6" s="267"/>
      <c r="F6" s="267"/>
      <c r="G6" s="267"/>
      <c r="H6" s="267"/>
      <c r="I6" s="267"/>
      <c r="J6" s="267"/>
      <c r="K6" s="267"/>
      <c r="L6" s="267"/>
      <c r="M6" s="267"/>
      <c r="N6" s="267"/>
      <c r="O6" s="267"/>
    </row>
    <row r="7" spans="1:16" ht="6" customHeight="1" x14ac:dyDescent="0.25">
      <c r="A7" s="269"/>
      <c r="B7" s="267"/>
      <c r="C7" s="267"/>
      <c r="D7" s="267"/>
      <c r="E7" s="267"/>
      <c r="F7" s="267"/>
      <c r="G7" s="267"/>
      <c r="H7" s="267"/>
      <c r="I7" s="267"/>
      <c r="J7" s="267"/>
      <c r="K7" s="267"/>
      <c r="L7" s="267"/>
      <c r="M7" s="267"/>
      <c r="N7" s="267"/>
      <c r="O7" s="267"/>
    </row>
    <row r="8" spans="1:16" x14ac:dyDescent="0.25">
      <c r="A8" s="268" t="s">
        <v>154</v>
      </c>
      <c r="B8" s="267"/>
      <c r="C8" s="267"/>
      <c r="D8" s="267"/>
      <c r="E8" s="267"/>
      <c r="F8" s="267"/>
      <c r="G8" s="267"/>
      <c r="H8" s="267"/>
      <c r="I8" s="267"/>
      <c r="J8" s="267"/>
      <c r="K8" s="267"/>
      <c r="L8" s="267"/>
      <c r="M8" s="267"/>
      <c r="N8" s="267"/>
      <c r="O8" s="267"/>
    </row>
    <row r="9" spans="1:16" x14ac:dyDescent="0.25">
      <c r="A9" s="268" t="s">
        <v>155</v>
      </c>
      <c r="B9" s="267"/>
      <c r="C9" s="267"/>
      <c r="D9" s="267"/>
      <c r="E9" s="267"/>
      <c r="F9" s="267"/>
      <c r="G9" s="267"/>
      <c r="H9" s="267"/>
      <c r="I9" s="267"/>
      <c r="J9" s="267"/>
      <c r="K9" s="267"/>
      <c r="L9" s="267"/>
      <c r="M9" s="267"/>
      <c r="N9" s="267"/>
      <c r="O9" s="267"/>
    </row>
    <row r="10" spans="1:16" x14ac:dyDescent="0.25">
      <c r="A10" s="268" t="s">
        <v>156</v>
      </c>
      <c r="B10" s="267"/>
      <c r="C10" s="267"/>
      <c r="D10" s="267"/>
      <c r="E10" s="267"/>
      <c r="F10" s="267"/>
      <c r="G10" s="267"/>
      <c r="H10" s="267"/>
      <c r="I10" s="267"/>
      <c r="J10" s="267"/>
      <c r="K10" s="267"/>
      <c r="L10" s="267"/>
      <c r="M10" s="267"/>
      <c r="N10" s="267"/>
      <c r="O10" s="267"/>
    </row>
    <row r="11" spans="1:16" ht="6" customHeight="1" x14ac:dyDescent="0.25">
      <c r="A11" s="267"/>
      <c r="B11" s="267"/>
      <c r="C11" s="267"/>
      <c r="D11" s="267"/>
      <c r="E11" s="267"/>
      <c r="F11" s="267"/>
      <c r="G11" s="267"/>
      <c r="H11" s="267"/>
      <c r="I11" s="267"/>
      <c r="J11" s="267"/>
      <c r="K11" s="267"/>
      <c r="L11" s="267"/>
      <c r="M11" s="267"/>
      <c r="N11" s="267"/>
      <c r="O11" s="267"/>
    </row>
    <row r="12" spans="1:16" x14ac:dyDescent="0.25">
      <c r="A12" s="287" t="s">
        <v>157</v>
      </c>
      <c r="B12" s="287"/>
      <c r="C12" s="287"/>
      <c r="D12" s="287"/>
      <c r="E12" s="287"/>
      <c r="F12" s="287"/>
      <c r="G12" s="287"/>
      <c r="H12" s="287"/>
      <c r="I12" s="287"/>
      <c r="J12" s="287"/>
      <c r="K12" s="287"/>
      <c r="L12" s="287"/>
      <c r="M12" s="287"/>
      <c r="N12" s="287"/>
      <c r="O12" s="287"/>
      <c r="P12" s="287"/>
    </row>
    <row r="13" spans="1:16" x14ac:dyDescent="0.25">
      <c r="A13" s="267"/>
      <c r="B13" s="267"/>
      <c r="C13" s="267"/>
      <c r="D13" s="267"/>
      <c r="E13" s="267"/>
      <c r="F13" s="267"/>
      <c r="G13" s="267"/>
      <c r="H13" s="267"/>
      <c r="I13" s="267"/>
      <c r="J13" s="267"/>
      <c r="K13" s="267"/>
      <c r="L13" s="267"/>
      <c r="M13" s="267"/>
      <c r="N13" s="267"/>
      <c r="O13" s="267"/>
    </row>
    <row r="14" spans="1:16" x14ac:dyDescent="0.25">
      <c r="A14" s="267"/>
      <c r="B14" s="267"/>
      <c r="C14" s="267"/>
      <c r="D14" s="267"/>
      <c r="E14" s="267"/>
      <c r="F14" s="267"/>
      <c r="G14" s="267"/>
      <c r="H14" s="267"/>
      <c r="I14" s="267"/>
      <c r="J14" s="267"/>
      <c r="K14" s="267"/>
      <c r="L14" s="267"/>
      <c r="M14" s="267"/>
    </row>
    <row r="15" spans="1:16" x14ac:dyDescent="0.25">
      <c r="A15" s="267"/>
      <c r="B15" s="267"/>
      <c r="C15" s="267"/>
      <c r="D15" s="267"/>
      <c r="E15" s="267"/>
      <c r="F15" s="267"/>
      <c r="G15" s="267"/>
      <c r="H15" s="267"/>
      <c r="I15" s="267"/>
      <c r="J15" s="267"/>
      <c r="K15" s="267"/>
      <c r="L15" s="267"/>
      <c r="M15" s="267"/>
    </row>
    <row r="16" spans="1:16" x14ac:dyDescent="0.25">
      <c r="A16" s="267"/>
      <c r="B16" s="267"/>
      <c r="C16" s="267"/>
      <c r="D16" s="267"/>
      <c r="E16" s="267"/>
      <c r="F16" s="267"/>
      <c r="G16" s="267"/>
      <c r="H16" s="267"/>
      <c r="I16" s="267"/>
      <c r="J16" s="267"/>
      <c r="K16" s="267"/>
      <c r="L16" s="267"/>
      <c r="M16" s="267"/>
    </row>
    <row r="17" spans="1:16" x14ac:dyDescent="0.25">
      <c r="A17" s="267"/>
      <c r="B17" s="267"/>
      <c r="C17" s="267"/>
      <c r="D17" s="267"/>
      <c r="E17" s="267"/>
      <c r="F17" s="267"/>
      <c r="G17" s="267"/>
      <c r="H17" s="267"/>
      <c r="I17" s="267"/>
      <c r="J17" s="267"/>
      <c r="K17" s="267"/>
      <c r="L17" s="267"/>
      <c r="M17" s="267"/>
    </row>
    <row r="18" spans="1:16" x14ac:dyDescent="0.25">
      <c r="A18" s="267"/>
      <c r="B18" s="267"/>
      <c r="C18" s="267"/>
      <c r="D18" s="267"/>
      <c r="E18" s="267"/>
      <c r="F18" s="267"/>
      <c r="G18" s="267"/>
      <c r="H18" s="267"/>
      <c r="I18" s="267"/>
      <c r="J18" s="267"/>
      <c r="K18" s="267"/>
      <c r="L18" s="267"/>
      <c r="M18" s="267"/>
    </row>
    <row r="19" spans="1:16" x14ac:dyDescent="0.25">
      <c r="A19" s="267"/>
      <c r="B19" s="267"/>
      <c r="C19" s="267"/>
      <c r="D19" s="267"/>
      <c r="E19" s="267"/>
      <c r="F19" s="267"/>
      <c r="G19" s="267"/>
      <c r="H19" s="267"/>
      <c r="I19" s="267"/>
      <c r="J19" s="267"/>
      <c r="K19" s="267"/>
      <c r="L19" s="267"/>
      <c r="M19" s="267"/>
    </row>
    <row r="20" spans="1:16" x14ac:dyDescent="0.25">
      <c r="A20" s="267"/>
      <c r="B20" s="267"/>
      <c r="C20" s="267"/>
      <c r="D20" s="267"/>
      <c r="E20" s="267"/>
      <c r="F20" s="267"/>
      <c r="G20" s="267"/>
      <c r="H20" s="267"/>
      <c r="I20" s="267"/>
      <c r="J20" s="267"/>
      <c r="K20" s="267"/>
      <c r="L20" s="267"/>
      <c r="M20" s="267"/>
    </row>
    <row r="21" spans="1:16" x14ac:dyDescent="0.25">
      <c r="A21" s="267"/>
      <c r="B21" s="267"/>
      <c r="C21" s="267"/>
      <c r="D21" s="267"/>
      <c r="E21" s="267"/>
      <c r="F21" s="267"/>
      <c r="G21" s="267"/>
      <c r="H21" s="267"/>
      <c r="I21" s="267"/>
      <c r="J21" s="267"/>
      <c r="K21" s="267"/>
      <c r="L21" s="267"/>
      <c r="M21" s="267"/>
    </row>
    <row r="22" spans="1:16" x14ac:dyDescent="0.25">
      <c r="A22" s="267"/>
      <c r="B22" s="267"/>
      <c r="C22" s="267"/>
      <c r="D22" s="267"/>
      <c r="E22" s="267"/>
      <c r="F22" s="267"/>
      <c r="G22" s="267"/>
      <c r="H22" s="267"/>
      <c r="I22" s="267"/>
      <c r="J22" s="267"/>
      <c r="K22" s="267"/>
      <c r="L22" s="267"/>
      <c r="M22" s="267"/>
    </row>
    <row r="23" spans="1:16" x14ac:dyDescent="0.25"/>
    <row r="24" spans="1:16" x14ac:dyDescent="0.25"/>
    <row r="25" spans="1:16" x14ac:dyDescent="0.25"/>
    <row r="26" spans="1:16" x14ac:dyDescent="0.25">
      <c r="A26" s="270" t="s">
        <v>158</v>
      </c>
    </row>
    <row r="27" spans="1:16" x14ac:dyDescent="0.25">
      <c r="A27" s="270" t="s">
        <v>159</v>
      </c>
    </row>
    <row r="28" spans="1:16" x14ac:dyDescent="0.25">
      <c r="A28" s="270" t="s">
        <v>160</v>
      </c>
    </row>
    <row r="29" spans="1:16" x14ac:dyDescent="0.25">
      <c r="A29" s="287" t="s">
        <v>161</v>
      </c>
      <c r="B29" s="287"/>
      <c r="C29" s="287"/>
      <c r="D29" s="287"/>
      <c r="E29" s="287"/>
      <c r="F29" s="287"/>
      <c r="G29" s="287"/>
      <c r="H29" s="287"/>
      <c r="I29" s="287"/>
      <c r="J29" s="287"/>
      <c r="K29" s="287"/>
      <c r="L29" s="287"/>
      <c r="M29" s="287"/>
      <c r="N29" s="287"/>
      <c r="O29" s="287"/>
      <c r="P29" s="287"/>
    </row>
    <row r="30" spans="1:16" x14ac:dyDescent="0.25"/>
    <row r="31" spans="1:16" x14ac:dyDescent="0.25">
      <c r="I31" s="271" t="s">
        <v>162</v>
      </c>
    </row>
    <row r="32" spans="1:16" x14ac:dyDescent="0.25">
      <c r="I32" s="270" t="s">
        <v>163</v>
      </c>
    </row>
    <row r="33" spans="1:16" x14ac:dyDescent="0.25">
      <c r="I33" s="270" t="s">
        <v>164</v>
      </c>
    </row>
    <row r="34" spans="1:16" x14ac:dyDescent="0.25">
      <c r="I34" s="270" t="s">
        <v>165</v>
      </c>
    </row>
    <row r="35" spans="1:16" x14ac:dyDescent="0.25">
      <c r="I35" s="270" t="s">
        <v>166</v>
      </c>
    </row>
    <row r="36" spans="1:16" x14ac:dyDescent="0.25">
      <c r="I36" s="270" t="s">
        <v>167</v>
      </c>
    </row>
    <row r="37" spans="1:16" x14ac:dyDescent="0.25">
      <c r="I37" s="270"/>
    </row>
    <row r="38" spans="1:16" x14ac:dyDescent="0.25"/>
    <row r="39" spans="1:16" x14ac:dyDescent="0.25"/>
    <row r="40" spans="1:16" x14ac:dyDescent="0.25"/>
    <row r="41" spans="1:16" ht="6" customHeight="1" x14ac:dyDescent="0.25"/>
    <row r="42" spans="1:16" x14ac:dyDescent="0.25"/>
    <row r="43" spans="1:16" x14ac:dyDescent="0.25">
      <c r="A43" s="287" t="s">
        <v>168</v>
      </c>
      <c r="B43" s="287"/>
      <c r="C43" s="287"/>
      <c r="D43" s="287"/>
      <c r="E43" s="287"/>
      <c r="F43" s="287"/>
      <c r="G43" s="287"/>
      <c r="H43" s="287"/>
      <c r="I43" s="287"/>
      <c r="J43" s="287"/>
      <c r="K43" s="287"/>
      <c r="L43" s="287"/>
      <c r="M43" s="287"/>
      <c r="N43" s="287"/>
      <c r="O43" s="287"/>
      <c r="P43" s="287"/>
    </row>
    <row r="44" spans="1:16" x14ac:dyDescent="0.25"/>
    <row r="45" spans="1:16" x14ac:dyDescent="0.25">
      <c r="I45" s="271" t="s">
        <v>169</v>
      </c>
    </row>
    <row r="46" spans="1:16" x14ac:dyDescent="0.25">
      <c r="I46" s="272" t="s">
        <v>170</v>
      </c>
    </row>
    <row r="47" spans="1:16" x14ac:dyDescent="0.25">
      <c r="I47" s="270" t="s">
        <v>171</v>
      </c>
    </row>
    <row r="48" spans="1:16" x14ac:dyDescent="0.25">
      <c r="I48" s="270" t="s">
        <v>172</v>
      </c>
    </row>
    <row r="49" spans="1:16" x14ac:dyDescent="0.25">
      <c r="I49" s="270" t="s">
        <v>173</v>
      </c>
    </row>
    <row r="50" spans="1:16" x14ac:dyDescent="0.25">
      <c r="I50" s="270"/>
    </row>
    <row r="51" spans="1:16" x14ac:dyDescent="0.25">
      <c r="I51" s="270"/>
    </row>
    <row r="52" spans="1:16" x14ac:dyDescent="0.25">
      <c r="I52" s="273"/>
    </row>
    <row r="53" spans="1:16" x14ac:dyDescent="0.25">
      <c r="A53" s="287" t="s">
        <v>174</v>
      </c>
      <c r="B53" s="287"/>
      <c r="C53" s="287"/>
      <c r="D53" s="287"/>
      <c r="E53" s="287"/>
      <c r="F53" s="287"/>
      <c r="G53" s="287"/>
      <c r="H53" s="287"/>
      <c r="I53" s="287"/>
      <c r="J53" s="287"/>
      <c r="K53" s="287"/>
      <c r="L53" s="287"/>
      <c r="M53" s="287"/>
      <c r="N53" s="287"/>
      <c r="O53" s="287"/>
      <c r="P53" s="287"/>
    </row>
    <row r="54" spans="1:16" x14ac:dyDescent="0.25">
      <c r="A54" s="263"/>
      <c r="B54" s="263"/>
      <c r="C54" s="263"/>
      <c r="D54" s="263"/>
      <c r="E54" s="263"/>
      <c r="F54" s="263"/>
      <c r="G54" s="263"/>
      <c r="H54" s="263"/>
      <c r="I54" s="263"/>
      <c r="J54" s="263"/>
      <c r="K54" s="263"/>
      <c r="L54" s="263"/>
      <c r="M54" s="263"/>
      <c r="N54" s="263"/>
      <c r="O54" s="263"/>
    </row>
    <row r="55" spans="1:16" x14ac:dyDescent="0.25">
      <c r="I55" s="272" t="s">
        <v>175</v>
      </c>
    </row>
    <row r="56" spans="1:16" x14ac:dyDescent="0.25">
      <c r="I56" s="270" t="s">
        <v>176</v>
      </c>
    </row>
    <row r="57" spans="1:16" x14ac:dyDescent="0.25">
      <c r="I57" s="270" t="s">
        <v>177</v>
      </c>
    </row>
    <row r="58" spans="1:16" x14ac:dyDescent="0.25">
      <c r="I58" s="270" t="s">
        <v>178</v>
      </c>
    </row>
    <row r="59" spans="1:16" x14ac:dyDescent="0.25">
      <c r="I59" s="270" t="s">
        <v>179</v>
      </c>
    </row>
    <row r="60" spans="1:16" x14ac:dyDescent="0.25">
      <c r="I60" s="270" t="s">
        <v>180</v>
      </c>
    </row>
    <row r="61" spans="1:16" x14ac:dyDescent="0.25">
      <c r="I61" s="270"/>
    </row>
    <row r="62" spans="1:16" x14ac:dyDescent="0.25">
      <c r="I62" s="272" t="s">
        <v>181</v>
      </c>
    </row>
    <row r="63" spans="1:16" x14ac:dyDescent="0.25">
      <c r="I63" s="270" t="s">
        <v>182</v>
      </c>
    </row>
    <row r="64" spans="1:16" x14ac:dyDescent="0.25">
      <c r="I64" s="270" t="s">
        <v>183</v>
      </c>
    </row>
    <row r="65" spans="1:16" x14ac:dyDescent="0.25">
      <c r="A65" s="274" t="s">
        <v>184</v>
      </c>
      <c r="I65" s="270" t="s">
        <v>185</v>
      </c>
    </row>
    <row r="66" spans="1:16" x14ac:dyDescent="0.25">
      <c r="A66" s="275" t="s">
        <v>186</v>
      </c>
      <c r="I66" s="270" t="s">
        <v>187</v>
      </c>
    </row>
    <row r="67" spans="1:16" x14ac:dyDescent="0.25">
      <c r="A67" s="275" t="s">
        <v>188</v>
      </c>
      <c r="I67" s="270"/>
    </row>
    <row r="68" spans="1:16" x14ac:dyDescent="0.25">
      <c r="A68" s="275" t="s">
        <v>188</v>
      </c>
    </row>
    <row r="69" spans="1:16" x14ac:dyDescent="0.25">
      <c r="A69" s="276" t="s">
        <v>189</v>
      </c>
      <c r="I69" s="263"/>
    </row>
    <row r="70" spans="1:16" x14ac:dyDescent="0.25">
      <c r="A70" s="276" t="s">
        <v>190</v>
      </c>
      <c r="I70" s="263"/>
    </row>
    <row r="71" spans="1:16" x14ac:dyDescent="0.25">
      <c r="A71" s="276" t="s">
        <v>191</v>
      </c>
      <c r="I71" s="270"/>
    </row>
    <row r="72" spans="1:16" ht="6" customHeight="1" x14ac:dyDescent="0.25">
      <c r="I72" s="270"/>
    </row>
    <row r="73" spans="1:16" x14ac:dyDescent="0.25">
      <c r="A73" s="287" t="s">
        <v>192</v>
      </c>
      <c r="B73" s="287"/>
      <c r="C73" s="287"/>
      <c r="D73" s="287"/>
      <c r="E73" s="287"/>
      <c r="F73" s="287"/>
      <c r="G73" s="287"/>
      <c r="H73" s="287"/>
      <c r="I73" s="287"/>
      <c r="J73" s="287"/>
      <c r="K73" s="287"/>
      <c r="L73" s="287"/>
      <c r="M73" s="287"/>
      <c r="N73" s="287"/>
      <c r="O73" s="287"/>
      <c r="P73" s="287"/>
    </row>
    <row r="74" spans="1:16" x14ac:dyDescent="0.25"/>
    <row r="75" spans="1:16" x14ac:dyDescent="0.25"/>
    <row r="76" spans="1:16" x14ac:dyDescent="0.25"/>
    <row r="77" spans="1:16" x14ac:dyDescent="0.25"/>
    <row r="78" spans="1:16" x14ac:dyDescent="0.25"/>
    <row r="79" spans="1:16" x14ac:dyDescent="0.25"/>
    <row r="80" spans="1:16" x14ac:dyDescent="0.25"/>
    <row r="81" spans="1:15" x14ac:dyDescent="0.25"/>
    <row r="82" spans="1:15" x14ac:dyDescent="0.25">
      <c r="A82" s="263"/>
    </row>
    <row r="83" spans="1:15" x14ac:dyDescent="0.25">
      <c r="A83" s="263"/>
    </row>
    <row r="84" spans="1:15" x14ac:dyDescent="0.25">
      <c r="A84" s="277" t="s">
        <v>193</v>
      </c>
    </row>
    <row r="85" spans="1:15" x14ac:dyDescent="0.25">
      <c r="A85" s="277" t="s">
        <v>194</v>
      </c>
    </row>
    <row r="86" spans="1:15" x14ac:dyDescent="0.25">
      <c r="A86" s="277" t="s">
        <v>195</v>
      </c>
    </row>
    <row r="87" spans="1:15" x14ac:dyDescent="0.25">
      <c r="A87" s="278"/>
      <c r="B87" s="263"/>
      <c r="C87" s="263"/>
      <c r="D87" s="263"/>
      <c r="E87" s="263"/>
      <c r="F87" s="263"/>
      <c r="G87" s="263"/>
      <c r="H87" s="263"/>
      <c r="I87" s="263"/>
      <c r="J87" s="263"/>
      <c r="K87" s="263"/>
      <c r="L87" s="263"/>
      <c r="M87" s="263"/>
      <c r="N87" s="263"/>
      <c r="O87" s="263"/>
    </row>
    <row r="88" spans="1:15" x14ac:dyDescent="0.25">
      <c r="A88" s="277" t="s">
        <v>196</v>
      </c>
    </row>
    <row r="89" spans="1:15" x14ac:dyDescent="0.25">
      <c r="A89" s="277" t="s">
        <v>197</v>
      </c>
    </row>
    <row r="90" spans="1:15" x14ac:dyDescent="0.25">
      <c r="A90" s="277" t="s">
        <v>198</v>
      </c>
    </row>
    <row r="91" spans="1:15" x14ac:dyDescent="0.25">
      <c r="A91" s="277" t="s">
        <v>199</v>
      </c>
    </row>
    <row r="92" spans="1:15" x14ac:dyDescent="0.25">
      <c r="A92" s="277" t="s">
        <v>200</v>
      </c>
    </row>
    <row r="93" spans="1:15" x14ac:dyDescent="0.25">
      <c r="A93" s="277" t="s">
        <v>201</v>
      </c>
    </row>
    <row r="94" spans="1:15" x14ac:dyDescent="0.25">
      <c r="A94" s="277" t="s">
        <v>202</v>
      </c>
    </row>
    <row r="95" spans="1:15" x14ac:dyDescent="0.25">
      <c r="A95" s="277" t="s">
        <v>203</v>
      </c>
    </row>
    <row r="96" spans="1:15" x14ac:dyDescent="0.25"/>
    <row r="97" spans="1:16" x14ac:dyDescent="0.25">
      <c r="A97" s="287" t="s">
        <v>204</v>
      </c>
      <c r="B97" s="287"/>
      <c r="C97" s="287"/>
      <c r="D97" s="287"/>
      <c r="E97" s="287"/>
      <c r="F97" s="287"/>
      <c r="G97" s="287"/>
      <c r="H97" s="287"/>
      <c r="I97" s="287"/>
      <c r="J97" s="287"/>
      <c r="K97" s="287"/>
      <c r="L97" s="287"/>
      <c r="M97" s="287"/>
      <c r="N97" s="287"/>
      <c r="O97" s="287"/>
      <c r="P97" s="287"/>
    </row>
    <row r="98" spans="1:16" x14ac:dyDescent="0.25">
      <c r="A98" s="263"/>
    </row>
    <row r="99" spans="1:16" x14ac:dyDescent="0.25"/>
    <row r="100" spans="1:16" x14ac:dyDescent="0.25"/>
    <row r="101" spans="1:16" x14ac:dyDescent="0.25">
      <c r="A101" s="263"/>
    </row>
    <row r="102" spans="1:16" x14ac:dyDescent="0.25">
      <c r="A102" s="263"/>
    </row>
    <row r="103" spans="1:16" x14ac:dyDescent="0.25">
      <c r="A103" s="263"/>
    </row>
    <row r="104" spans="1:16" x14ac:dyDescent="0.25"/>
    <row r="105" spans="1:16" x14ac:dyDescent="0.25">
      <c r="A105" s="263"/>
    </row>
    <row r="106" spans="1:16" ht="6" customHeight="1" x14ac:dyDescent="0.25">
      <c r="A106" s="263"/>
    </row>
    <row r="107" spans="1:16" x14ac:dyDescent="0.25">
      <c r="A107" s="279" t="s">
        <v>205</v>
      </c>
    </row>
    <row r="108" spans="1:16" x14ac:dyDescent="0.25">
      <c r="A108" s="276" t="s">
        <v>206</v>
      </c>
    </row>
    <row r="109" spans="1:16" x14ac:dyDescent="0.25">
      <c r="A109" s="276" t="s">
        <v>207</v>
      </c>
    </row>
    <row r="110" spans="1:16" x14ac:dyDescent="0.25"/>
    <row r="111" spans="1:16" x14ac:dyDescent="0.25">
      <c r="A111" s="287" t="s">
        <v>208</v>
      </c>
      <c r="B111" s="287"/>
      <c r="C111" s="287"/>
      <c r="D111" s="287"/>
      <c r="E111" s="287"/>
      <c r="F111" s="287"/>
      <c r="G111" s="287"/>
      <c r="H111" s="287"/>
      <c r="I111" s="287"/>
      <c r="J111" s="287"/>
      <c r="K111" s="287"/>
      <c r="L111" s="287"/>
      <c r="M111" s="287"/>
      <c r="N111" s="287"/>
      <c r="O111" s="287"/>
      <c r="P111" s="287"/>
    </row>
    <row r="112" spans="1:16" x14ac:dyDescent="0.25">
      <c r="A112" s="263"/>
    </row>
    <row r="113" spans="1:1" s="263" customFormat="1" x14ac:dyDescent="0.25"/>
    <row r="114" spans="1:1" s="263" customFormat="1" x14ac:dyDescent="0.25">
      <c r="A114" s="262"/>
    </row>
    <row r="115" spans="1:1" s="263" customFormat="1" x14ac:dyDescent="0.25">
      <c r="A115" s="262"/>
    </row>
    <row r="116" spans="1:1" s="263" customFormat="1" x14ac:dyDescent="0.25">
      <c r="A116" s="262"/>
    </row>
    <row r="117" spans="1:1" s="263" customFormat="1" x14ac:dyDescent="0.25">
      <c r="A117" s="262"/>
    </row>
    <row r="118" spans="1:1" s="263" customFormat="1" x14ac:dyDescent="0.25">
      <c r="A118" s="262"/>
    </row>
    <row r="119" spans="1:1" s="263" customFormat="1" x14ac:dyDescent="0.25">
      <c r="A119" s="262"/>
    </row>
    <row r="120" spans="1:1" s="263" customFormat="1" x14ac:dyDescent="0.25">
      <c r="A120" s="262"/>
    </row>
    <row r="121" spans="1:1" s="263" customFormat="1" x14ac:dyDescent="0.25">
      <c r="A121" s="262"/>
    </row>
    <row r="122" spans="1:1" s="263" customFormat="1" x14ac:dyDescent="0.25">
      <c r="A122" s="262"/>
    </row>
    <row r="123" spans="1:1" s="263" customFormat="1" x14ac:dyDescent="0.25">
      <c r="A123" s="262"/>
    </row>
    <row r="124" spans="1:1" s="263" customFormat="1" x14ac:dyDescent="0.25">
      <c r="A124" s="262"/>
    </row>
  </sheetData>
  <mergeCells count="7">
    <mergeCell ref="A111:P111"/>
    <mergeCell ref="A12:P12"/>
    <mergeCell ref="A29:P29"/>
    <mergeCell ref="A43:P43"/>
    <mergeCell ref="A53:P53"/>
    <mergeCell ref="A73:P73"/>
    <mergeCell ref="A97:P97"/>
  </mergeCells>
  <printOptions horizontalCentered="1" verticalCentered="1"/>
  <pageMargins left="0.25" right="0.25" top="0.5" bottom="0.5" header="0.3" footer="0.3"/>
  <pageSetup scale="90"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1"/>
  <sheetViews>
    <sheetView tabSelected="1" zoomScaleNormal="100" workbookViewId="0">
      <selection activeCell="E30" sqref="E30"/>
    </sheetView>
  </sheetViews>
  <sheetFormatPr defaultColWidth="0" defaultRowHeight="11.25" customHeight="1" zeroHeight="1" x14ac:dyDescent="0.2"/>
  <cols>
    <col min="1" max="1" width="0.85546875" style="77" customWidth="1"/>
    <col min="2" max="2" width="2.28515625" style="77" customWidth="1"/>
    <col min="3" max="3" width="8.7109375" style="77" customWidth="1"/>
    <col min="4" max="4" width="8.5703125" style="77" customWidth="1"/>
    <col min="5" max="5" width="7.140625" style="77" customWidth="1"/>
    <col min="6" max="6" width="5.7109375" style="77" customWidth="1"/>
    <col min="7" max="7" width="8.7109375" style="77" customWidth="1"/>
    <col min="8" max="9" width="8.140625" style="77" customWidth="1"/>
    <col min="10" max="10" width="5.7109375" style="77" customWidth="1"/>
    <col min="11" max="11" width="5.5703125" style="77" customWidth="1"/>
    <col min="12" max="12" width="8.5703125" style="77" customWidth="1"/>
    <col min="13" max="14" width="8.140625" style="77" customWidth="1"/>
    <col min="15" max="16" width="5.7109375" style="77" customWidth="1"/>
    <col min="17" max="17" width="8.7109375" style="77" customWidth="1"/>
    <col min="18" max="19" width="8.140625" style="77" customWidth="1"/>
    <col min="20" max="20" width="5.5703125" style="77" customWidth="1"/>
    <col min="21" max="21" width="5.7109375" style="77" customWidth="1"/>
    <col min="22" max="22" width="8.7109375" style="77" customWidth="1"/>
    <col min="23" max="24" width="8.140625" style="77" customWidth="1"/>
    <col min="25" max="25" width="5.7109375" style="77" customWidth="1"/>
    <col min="26" max="26" width="0.42578125" style="77" customWidth="1"/>
    <col min="27" max="27" width="9.5703125" style="77" hidden="1" customWidth="1"/>
    <col min="28" max="28" width="9.140625" style="77" hidden="1" customWidth="1"/>
    <col min="29" max="29" width="11.140625" style="77" hidden="1" customWidth="1"/>
    <col min="30" max="33" width="5.7109375" style="77" hidden="1" customWidth="1"/>
    <col min="34" max="34" width="7.85546875" style="77" hidden="1" customWidth="1"/>
    <col min="35" max="37" width="5.7109375" style="77" hidden="1" customWidth="1"/>
    <col min="38" max="38" width="7.85546875" style="77" hidden="1" customWidth="1"/>
    <col min="39" max="39" width="5.7109375" style="77" hidden="1" customWidth="1"/>
    <col min="40" max="40" width="4.85546875" style="77" hidden="1" customWidth="1"/>
    <col min="41" max="41" width="5.7109375" style="77" hidden="1" customWidth="1"/>
    <col min="42" max="42" width="7.85546875" style="77" hidden="1" customWidth="1"/>
    <col min="43" max="43" width="5.7109375" style="77" hidden="1" customWidth="1"/>
    <col min="44" max="44" width="4.85546875" style="77" hidden="1" customWidth="1"/>
    <col min="45" max="45" width="5.7109375" style="77" hidden="1" customWidth="1"/>
    <col min="46" max="46" width="7.85546875" style="77" hidden="1" customWidth="1"/>
    <col min="47" max="47" width="5.7109375" style="77" hidden="1" customWidth="1"/>
    <col min="48" max="48" width="4.85546875" style="77" hidden="1" customWidth="1"/>
    <col min="49" max="49" width="5.7109375" style="77" hidden="1" customWidth="1"/>
    <col min="50" max="50" width="0.7109375" style="77" hidden="1" customWidth="1"/>
    <col min="51" max="51" width="4.7109375" style="77" hidden="1" customWidth="1"/>
    <col min="52" max="52" width="7.85546875" style="77" hidden="1" customWidth="1"/>
    <col min="53" max="53" width="5.7109375" style="77" hidden="1" customWidth="1"/>
    <col min="54" max="54" width="4.85546875" style="77" hidden="1" customWidth="1"/>
    <col min="55" max="55" width="5.7109375" style="77" hidden="1" customWidth="1"/>
    <col min="56" max="56" width="7.85546875" style="77" hidden="1" customWidth="1"/>
    <col min="57" max="57" width="5.7109375" style="77" hidden="1" customWidth="1"/>
    <col min="58" max="58" width="4.85546875" style="77" hidden="1" customWidth="1"/>
    <col min="59" max="59" width="6.42578125" style="77" hidden="1" customWidth="1"/>
    <col min="60" max="60" width="7.85546875" style="77" hidden="1" customWidth="1"/>
    <col min="61" max="61" width="5.7109375" style="77" hidden="1" customWidth="1"/>
    <col min="62" max="62" width="4.85546875" style="77" hidden="1" customWidth="1"/>
    <col min="63" max="63" width="5.7109375" style="77" hidden="1" customWidth="1"/>
    <col min="64" max="64" width="0.7109375" style="77" hidden="1" customWidth="1"/>
    <col min="65" max="65" width="7.85546875" style="77" hidden="1" customWidth="1"/>
    <col min="66" max="66" width="5.7109375" style="77" hidden="1" customWidth="1"/>
    <col min="67" max="67" width="4.85546875" style="77" hidden="1" customWidth="1"/>
    <col min="68" max="68" width="5.7109375" style="77" hidden="1" customWidth="1"/>
    <col min="69" max="69" width="7.85546875" style="77" hidden="1" customWidth="1"/>
    <col min="70" max="70" width="5.7109375" style="77" hidden="1" customWidth="1"/>
    <col min="71" max="71" width="4.85546875" style="77" hidden="1" customWidth="1"/>
    <col min="72" max="72" width="5.7109375" style="77" hidden="1" customWidth="1"/>
    <col min="73" max="73" width="7.85546875" style="77" hidden="1" customWidth="1"/>
    <col min="74" max="74" width="5.7109375" style="77" hidden="1" customWidth="1"/>
    <col min="75" max="75" width="4.85546875" style="77" hidden="1" customWidth="1"/>
    <col min="76" max="76" width="5.7109375" style="77" hidden="1" customWidth="1"/>
    <col min="77" max="77" width="0.5703125" style="77" hidden="1" customWidth="1"/>
    <col min="78" max="78" width="5.42578125" style="77" hidden="1" customWidth="1"/>
    <col min="79" max="79" width="4" style="77" hidden="1" customWidth="1"/>
    <col min="80" max="80" width="5.7109375" style="77" hidden="1" customWidth="1"/>
    <col min="81" max="81" width="7.85546875" style="77" hidden="1" customWidth="1"/>
    <col min="82" max="82" width="8.42578125" style="77" hidden="1" customWidth="1"/>
    <col min="83" max="83" width="13.7109375" style="77" hidden="1" customWidth="1"/>
    <col min="84" max="84" width="5.7109375" style="77" hidden="1" customWidth="1"/>
    <col min="85" max="85" width="0.140625" style="78" customWidth="1"/>
    <col min="86" max="94" width="0.140625" style="79" customWidth="1"/>
    <col min="95" max="97" width="9.140625" style="78" hidden="1" customWidth="1"/>
    <col min="98" max="16384" width="9.140625" style="77" hidden="1"/>
  </cols>
  <sheetData>
    <row r="1" spans="2:98" ht="3" customHeight="1" x14ac:dyDescent="0.2"/>
    <row r="2" spans="2:98" ht="6" customHeight="1" x14ac:dyDescent="0.2">
      <c r="B2" s="258"/>
      <c r="C2" s="259"/>
      <c r="D2" s="259"/>
      <c r="E2" s="259"/>
      <c r="F2" s="259"/>
      <c r="G2" s="259"/>
      <c r="H2" s="259"/>
      <c r="I2" s="259"/>
      <c r="J2" s="259"/>
      <c r="K2" s="259"/>
      <c r="L2" s="259"/>
      <c r="M2" s="259"/>
      <c r="N2" s="259"/>
      <c r="O2" s="259"/>
      <c r="P2" s="259"/>
      <c r="Q2" s="259"/>
      <c r="R2" s="259"/>
      <c r="S2" s="259"/>
      <c r="T2" s="259"/>
      <c r="U2" s="259"/>
      <c r="V2" s="259"/>
      <c r="W2" s="259"/>
      <c r="X2" s="259"/>
      <c r="Y2" s="260"/>
    </row>
    <row r="3" spans="2:98" ht="10.5" customHeight="1" x14ac:dyDescent="0.2">
      <c r="B3" s="112"/>
      <c r="C3" s="113"/>
      <c r="D3" s="113"/>
      <c r="E3" s="113"/>
      <c r="F3" s="113"/>
      <c r="G3" s="113"/>
      <c r="H3" s="113"/>
      <c r="I3" s="113"/>
      <c r="J3" s="113"/>
      <c r="K3" s="113"/>
      <c r="L3" s="113"/>
      <c r="M3" s="113"/>
      <c r="N3" s="113"/>
      <c r="O3" s="113"/>
      <c r="P3" s="113"/>
      <c r="Q3" s="113"/>
      <c r="R3" s="113"/>
      <c r="S3" s="113"/>
      <c r="T3" s="113"/>
      <c r="U3" s="113"/>
      <c r="V3" s="113"/>
      <c r="W3" s="113"/>
      <c r="X3" s="113"/>
      <c r="Y3" s="149"/>
    </row>
    <row r="4" spans="2:98" ht="21" x14ac:dyDescent="0.35">
      <c r="B4" s="112"/>
      <c r="C4" s="113"/>
      <c r="D4" s="113"/>
      <c r="E4" s="113"/>
      <c r="F4" s="113"/>
      <c r="G4" s="113"/>
      <c r="H4" s="113"/>
      <c r="I4" s="113"/>
      <c r="J4" s="261"/>
      <c r="K4" s="261" t="s">
        <v>62</v>
      </c>
      <c r="L4" s="113"/>
      <c r="M4" s="113"/>
      <c r="N4" s="113"/>
      <c r="O4" s="113"/>
      <c r="P4" s="113"/>
      <c r="Q4" s="113"/>
      <c r="R4" s="113"/>
      <c r="S4" s="113"/>
      <c r="T4" s="113"/>
      <c r="U4" s="113"/>
      <c r="V4" s="113"/>
      <c r="W4" s="113"/>
      <c r="X4" s="113"/>
      <c r="Y4" s="149"/>
      <c r="CT4" s="88"/>
    </row>
    <row r="5" spans="2:98" ht="6" customHeight="1" x14ac:dyDescent="0.2">
      <c r="B5" s="89"/>
      <c r="C5" s="90"/>
      <c r="D5" s="90"/>
      <c r="E5" s="90"/>
      <c r="F5" s="90"/>
      <c r="G5" s="90"/>
      <c r="H5" s="90"/>
      <c r="I5" s="90"/>
      <c r="J5" s="90"/>
      <c r="K5" s="90"/>
      <c r="L5" s="90"/>
      <c r="M5" s="90"/>
      <c r="N5" s="90"/>
      <c r="O5" s="90"/>
      <c r="P5" s="90"/>
      <c r="Q5" s="90"/>
      <c r="R5" s="90"/>
      <c r="S5" s="90"/>
      <c r="T5" s="90"/>
      <c r="U5" s="90"/>
      <c r="V5" s="288"/>
      <c r="W5" s="289"/>
      <c r="X5" s="289"/>
      <c r="Y5" s="290"/>
      <c r="AC5" s="91"/>
      <c r="AD5" s="92"/>
      <c r="AE5" s="93">
        <f>CF9</f>
        <v>24200</v>
      </c>
      <c r="AF5" s="94" t="s">
        <v>63</v>
      </c>
      <c r="AG5" s="94"/>
      <c r="AH5" s="95" t="str">
        <f>IF(VLOOKUP($D$10,$AC$8:$AW$38,12,FALSE)&gt;I12,"True","")</f>
        <v/>
      </c>
      <c r="AI5" s="95"/>
      <c r="AJ5" s="95"/>
      <c r="AK5" s="95"/>
      <c r="AL5" s="96"/>
      <c r="AM5" s="95"/>
      <c r="AN5" s="95"/>
      <c r="AO5" s="95"/>
      <c r="AP5" s="95"/>
      <c r="AQ5" s="95"/>
      <c r="AR5" s="95"/>
      <c r="AS5" s="95"/>
      <c r="AT5" s="95"/>
      <c r="AU5" s="95"/>
      <c r="AV5" s="95"/>
      <c r="AW5" s="95"/>
      <c r="AY5" s="96"/>
      <c r="AZ5" s="96" t="str">
        <f>IF(I12&lt;VLOOKUP(D10,AY8:BK38,4,FALSE),"True","")</f>
        <v/>
      </c>
      <c r="BA5" s="95"/>
      <c r="BB5" s="95"/>
      <c r="BC5" s="95"/>
      <c r="BD5" s="95"/>
      <c r="BE5" s="95"/>
      <c r="BF5" s="95"/>
      <c r="BG5" s="95"/>
      <c r="BH5" s="95"/>
      <c r="BI5" s="95"/>
      <c r="BJ5" s="95"/>
      <c r="BK5" s="95"/>
      <c r="BM5" s="97"/>
      <c r="BN5" s="95"/>
      <c r="BO5" s="95"/>
      <c r="BP5" s="95"/>
      <c r="BQ5" s="95"/>
      <c r="BR5" s="95"/>
      <c r="BS5" s="95"/>
      <c r="BT5" s="95"/>
      <c r="BU5" s="95"/>
      <c r="BV5" s="95"/>
      <c r="BW5" s="95"/>
      <c r="BX5" s="95"/>
      <c r="BZ5" s="95"/>
      <c r="CA5" s="95"/>
      <c r="CB5" s="95"/>
      <c r="CC5" s="95"/>
      <c r="CD5" s="95"/>
      <c r="CE5" s="95"/>
      <c r="CF5" s="95"/>
      <c r="CG5" s="98" t="s">
        <v>64</v>
      </c>
      <c r="CH5" s="99" t="s">
        <v>65</v>
      </c>
      <c r="CI5" s="99" t="s">
        <v>19</v>
      </c>
      <c r="CJ5" s="99" t="s">
        <v>66</v>
      </c>
      <c r="CK5" s="100" t="s">
        <v>67</v>
      </c>
      <c r="CL5" s="100" t="s">
        <v>68</v>
      </c>
      <c r="CM5" s="100" t="s">
        <v>69</v>
      </c>
      <c r="CN5" s="100" t="s">
        <v>70</v>
      </c>
      <c r="CO5" s="100" t="s">
        <v>71</v>
      </c>
      <c r="CP5" s="100" t="s">
        <v>72</v>
      </c>
      <c r="CT5" s="101"/>
    </row>
    <row r="6" spans="2:98" x14ac:dyDescent="0.2">
      <c r="B6" s="222" t="s">
        <v>73</v>
      </c>
      <c r="C6" s="223"/>
      <c r="D6" s="224"/>
      <c r="E6" s="224"/>
      <c r="F6" s="291" t="s">
        <v>74</v>
      </c>
      <c r="G6" s="292"/>
      <c r="H6" s="292"/>
      <c r="I6" s="292"/>
      <c r="J6" s="293"/>
      <c r="K6" s="291" t="s">
        <v>75</v>
      </c>
      <c r="L6" s="292"/>
      <c r="M6" s="292"/>
      <c r="N6" s="292"/>
      <c r="O6" s="293"/>
      <c r="P6" s="291" t="s">
        <v>76</v>
      </c>
      <c r="Q6" s="292"/>
      <c r="R6" s="292"/>
      <c r="S6" s="292"/>
      <c r="T6" s="293"/>
      <c r="U6" s="291" t="s">
        <v>77</v>
      </c>
      <c r="V6" s="292"/>
      <c r="W6" s="292"/>
      <c r="X6" s="292"/>
      <c r="Y6" s="294"/>
      <c r="AC6" s="104" t="s">
        <v>8</v>
      </c>
      <c r="AD6" s="301" t="s">
        <v>78</v>
      </c>
      <c r="AE6" s="302"/>
      <c r="AF6" s="302"/>
      <c r="AG6" s="303"/>
      <c r="AH6" s="295" t="s">
        <v>79</v>
      </c>
      <c r="AI6" s="296"/>
      <c r="AJ6" s="296"/>
      <c r="AK6" s="297"/>
      <c r="AL6" s="295" t="s">
        <v>80</v>
      </c>
      <c r="AM6" s="296"/>
      <c r="AN6" s="296"/>
      <c r="AO6" s="297"/>
      <c r="AP6" s="295" t="s">
        <v>81</v>
      </c>
      <c r="AQ6" s="296"/>
      <c r="AR6" s="296"/>
      <c r="AS6" s="297"/>
      <c r="AT6" s="295" t="s">
        <v>82</v>
      </c>
      <c r="AU6" s="296"/>
      <c r="AV6" s="296"/>
      <c r="AW6" s="297"/>
      <c r="AX6" s="105"/>
      <c r="AY6" s="104" t="s">
        <v>8</v>
      </c>
      <c r="AZ6" s="295" t="s">
        <v>80</v>
      </c>
      <c r="BA6" s="296"/>
      <c r="BB6" s="296"/>
      <c r="BC6" s="297"/>
      <c r="BD6" s="295" t="s">
        <v>81</v>
      </c>
      <c r="BE6" s="296"/>
      <c r="BF6" s="296"/>
      <c r="BG6" s="297"/>
      <c r="BH6" s="295" t="s">
        <v>82</v>
      </c>
      <c r="BI6" s="296"/>
      <c r="BJ6" s="296"/>
      <c r="BK6" s="297"/>
      <c r="BL6" s="105"/>
      <c r="BM6" s="295" t="s">
        <v>80</v>
      </c>
      <c r="BN6" s="296"/>
      <c r="BO6" s="296"/>
      <c r="BP6" s="297"/>
      <c r="BQ6" s="295" t="s">
        <v>81</v>
      </c>
      <c r="BR6" s="296"/>
      <c r="BS6" s="296"/>
      <c r="BT6" s="297"/>
      <c r="BU6" s="295" t="s">
        <v>82</v>
      </c>
      <c r="BV6" s="296"/>
      <c r="BW6" s="296"/>
      <c r="BX6" s="297"/>
      <c r="BY6" s="105"/>
      <c r="BZ6" s="106" t="s">
        <v>15</v>
      </c>
      <c r="CA6" s="106" t="s">
        <v>18</v>
      </c>
      <c r="CB6" s="107" t="s">
        <v>34</v>
      </c>
      <c r="CC6" s="107" t="s">
        <v>83</v>
      </c>
      <c r="CD6" s="107" t="s">
        <v>32</v>
      </c>
      <c r="CE6" s="108" t="s">
        <v>84</v>
      </c>
      <c r="CF6" s="109">
        <f>IF(CF9&lt;24000,VLOOKUP($D$12,SOURCE!AD5:AG25,2,FALSE),IF(CF9=24200,VLOOKUP($D$12,SOURCE!AD5:AG25,3,FALSE),VLOOKUP($D$12,SOURCE!AD5:AG25,4,FALSE)))</f>
        <v>1</v>
      </c>
      <c r="CG6" s="110" t="s">
        <v>85</v>
      </c>
      <c r="CH6" s="99">
        <f>I8</f>
        <v>32000</v>
      </c>
      <c r="CI6" s="99">
        <f>I10</f>
        <v>16000</v>
      </c>
      <c r="CJ6" s="99">
        <f>H45</f>
        <v>1300000</v>
      </c>
      <c r="CK6" s="99">
        <f>H46</f>
        <v>2400000</v>
      </c>
      <c r="CL6" s="99">
        <f>IF(OR(CH6=0,CK6=0),"",CK6/CH6)</f>
        <v>75</v>
      </c>
      <c r="CM6" s="99">
        <f>SUM(CJ6:CK6)</f>
        <v>3700000</v>
      </c>
      <c r="CN6" s="99">
        <f>IF(OR(CH6=0,CM6=0),0,CM6/CH6)</f>
        <v>115.625</v>
      </c>
      <c r="CO6" s="99">
        <f>I45</f>
        <v>-260000</v>
      </c>
      <c r="CP6" s="111">
        <f>IF(I45=0,0,-I45/$D$45)</f>
        <v>0.104</v>
      </c>
      <c r="CT6" s="101"/>
    </row>
    <row r="7" spans="2:98" ht="3" customHeight="1" x14ac:dyDescent="0.2">
      <c r="B7" s="221"/>
      <c r="C7" s="86"/>
      <c r="D7" s="86"/>
      <c r="E7" s="86"/>
      <c r="F7" s="298" t="s">
        <v>86</v>
      </c>
      <c r="G7" s="225"/>
      <c r="H7" s="225"/>
      <c r="I7" s="225"/>
      <c r="J7" s="226"/>
      <c r="K7" s="298" t="s">
        <v>87</v>
      </c>
      <c r="L7" s="225"/>
      <c r="M7" s="225"/>
      <c r="N7" s="225"/>
      <c r="O7" s="226"/>
      <c r="P7" s="298" t="s">
        <v>87</v>
      </c>
      <c r="Q7" s="86"/>
      <c r="R7" s="86"/>
      <c r="S7" s="86"/>
      <c r="T7" s="226"/>
      <c r="U7" s="298" t="s">
        <v>87</v>
      </c>
      <c r="V7" s="86"/>
      <c r="W7" s="86"/>
      <c r="X7" s="86"/>
      <c r="Y7" s="226"/>
      <c r="AC7" s="114" t="s">
        <v>27</v>
      </c>
      <c r="AD7" s="104" t="s">
        <v>28</v>
      </c>
      <c r="AE7" s="104" t="s">
        <v>88</v>
      </c>
      <c r="AF7" s="104" t="s">
        <v>30</v>
      </c>
      <c r="AG7" s="104" t="s">
        <v>89</v>
      </c>
      <c r="AH7" s="104" t="s">
        <v>20</v>
      </c>
      <c r="AI7" s="104" t="s">
        <v>21</v>
      </c>
      <c r="AJ7" s="104" t="s">
        <v>19</v>
      </c>
      <c r="AK7" s="104" t="s">
        <v>65</v>
      </c>
      <c r="AL7" s="104" t="s">
        <v>20</v>
      </c>
      <c r="AM7" s="104" t="s">
        <v>21</v>
      </c>
      <c r="AN7" s="104" t="s">
        <v>19</v>
      </c>
      <c r="AO7" s="104" t="s">
        <v>65</v>
      </c>
      <c r="AP7" s="104" t="s">
        <v>20</v>
      </c>
      <c r="AQ7" s="104" t="s">
        <v>21</v>
      </c>
      <c r="AR7" s="104" t="s">
        <v>19</v>
      </c>
      <c r="AS7" s="104" t="s">
        <v>65</v>
      </c>
      <c r="AT7" s="104" t="s">
        <v>20</v>
      </c>
      <c r="AU7" s="104" t="s">
        <v>21</v>
      </c>
      <c r="AV7" s="104" t="s">
        <v>19</v>
      </c>
      <c r="AW7" s="104" t="s">
        <v>65</v>
      </c>
      <c r="AX7" s="105"/>
      <c r="AY7" s="114" t="s">
        <v>27</v>
      </c>
      <c r="AZ7" s="104" t="s">
        <v>20</v>
      </c>
      <c r="BA7" s="104" t="s">
        <v>21</v>
      </c>
      <c r="BB7" s="104" t="s">
        <v>19</v>
      </c>
      <c r="BC7" s="104" t="s">
        <v>65</v>
      </c>
      <c r="BD7" s="104" t="s">
        <v>20</v>
      </c>
      <c r="BE7" s="104" t="s">
        <v>21</v>
      </c>
      <c r="BF7" s="104" t="s">
        <v>19</v>
      </c>
      <c r="BG7" s="115" t="e">
        <f t="shared" ref="BG7:BG17" si="0">BD7/BE7</f>
        <v>#VALUE!</v>
      </c>
      <c r="BH7" s="104" t="s">
        <v>20</v>
      </c>
      <c r="BI7" s="104" t="s">
        <v>21</v>
      </c>
      <c r="BJ7" s="104" t="s">
        <v>19</v>
      </c>
      <c r="BK7" s="104" t="s">
        <v>65</v>
      </c>
      <c r="BL7" s="105"/>
      <c r="BM7" s="104" t="s">
        <v>20</v>
      </c>
      <c r="BN7" s="104" t="s">
        <v>21</v>
      </c>
      <c r="BO7" s="104" t="s">
        <v>19</v>
      </c>
      <c r="BP7" s="104" t="s">
        <v>65</v>
      </c>
      <c r="BQ7" s="104" t="s">
        <v>20</v>
      </c>
      <c r="BR7" s="104" t="s">
        <v>21</v>
      </c>
      <c r="BS7" s="104" t="s">
        <v>19</v>
      </c>
      <c r="BT7" s="104" t="s">
        <v>65</v>
      </c>
      <c r="BU7" s="104" t="s">
        <v>20</v>
      </c>
      <c r="BV7" s="104" t="s">
        <v>21</v>
      </c>
      <c r="BW7" s="104" t="s">
        <v>19</v>
      </c>
      <c r="BX7" s="104" t="s">
        <v>65</v>
      </c>
      <c r="BY7" s="105"/>
      <c r="BZ7" s="116" t="s">
        <v>90</v>
      </c>
      <c r="CA7" s="117" t="s">
        <v>90</v>
      </c>
      <c r="CB7" s="116" t="s">
        <v>90</v>
      </c>
      <c r="CC7" s="116"/>
      <c r="CD7" s="116" t="s">
        <v>90</v>
      </c>
      <c r="CE7" s="108" t="s">
        <v>91</v>
      </c>
      <c r="CF7" s="109">
        <f>VLOOKUP(D14,SOURCE!AB5:AC7,2,FALSE)</f>
        <v>1</v>
      </c>
      <c r="CG7" s="110" t="s">
        <v>92</v>
      </c>
      <c r="CH7" s="99">
        <f>N8</f>
        <v>16000</v>
      </c>
      <c r="CI7" s="99">
        <f>N10</f>
        <v>8000</v>
      </c>
      <c r="CJ7" s="99">
        <f>M45</f>
        <v>1200000</v>
      </c>
      <c r="CK7" s="99">
        <f>M46</f>
        <v>2562500</v>
      </c>
      <c r="CL7" s="99">
        <f>IF(OR(CH7=0,CK7=0),"",CK7/CH7)</f>
        <v>160.15625</v>
      </c>
      <c r="CM7" s="99">
        <f>SUM(CJ7:CK7)</f>
        <v>3762500</v>
      </c>
      <c r="CN7" s="99">
        <f>IF(OR(CH7=0,CM7=0),0,CM7/CH7)</f>
        <v>235.15625</v>
      </c>
      <c r="CO7" s="99">
        <f>N45</f>
        <v>-144000</v>
      </c>
      <c r="CP7" s="111">
        <f>IF(N45=0,"",-N45/$D$45)</f>
        <v>5.7599999999999998E-2</v>
      </c>
      <c r="CT7" s="101"/>
    </row>
    <row r="8" spans="2:98" x14ac:dyDescent="0.2">
      <c r="B8" s="118" t="s">
        <v>93</v>
      </c>
      <c r="C8" s="119"/>
      <c r="D8" s="120">
        <v>24000</v>
      </c>
      <c r="E8" s="86"/>
      <c r="F8" s="299"/>
      <c r="G8" s="119" t="s">
        <v>94</v>
      </c>
      <c r="H8" s="227"/>
      <c r="I8" s="228">
        <f>VLOOKUP($D$10,$AC$8:$AW$38,9,FALSE)</f>
        <v>32000</v>
      </c>
      <c r="J8" s="122"/>
      <c r="K8" s="299"/>
      <c r="L8" s="119" t="s">
        <v>94</v>
      </c>
      <c r="M8" s="229"/>
      <c r="N8" s="228">
        <f>IF(I12="",0,N10*D10)</f>
        <v>16000</v>
      </c>
      <c r="O8" s="122"/>
      <c r="P8" s="299"/>
      <c r="Q8" s="119" t="s">
        <v>94</v>
      </c>
      <c r="R8" s="229"/>
      <c r="S8" s="228">
        <f>IF(N12="",0,VLOOKUP($D$10,$AC$8:$AW$38,17,FALSE))</f>
        <v>16000</v>
      </c>
      <c r="T8" s="122"/>
      <c r="U8" s="299"/>
      <c r="V8" s="119" t="s">
        <v>94</v>
      </c>
      <c r="W8" s="229"/>
      <c r="X8" s="228">
        <f>IF(S12="",0,VLOOKUP($D$10,$AC$8:$AW$38,21,FALSE))</f>
        <v>16000</v>
      </c>
      <c r="Y8" s="87"/>
      <c r="AC8" s="54">
        <v>1</v>
      </c>
      <c r="AD8" s="124">
        <v>1.6</v>
      </c>
      <c r="AE8" s="124">
        <v>0.95</v>
      </c>
      <c r="AF8" s="124">
        <v>1.7</v>
      </c>
      <c r="AG8" s="124">
        <v>0.95</v>
      </c>
      <c r="AH8" s="125">
        <f t="shared" ref="AH8:AH17" si="1">$AH$18*AE8</f>
        <v>2280000</v>
      </c>
      <c r="AI8" s="54">
        <f t="shared" ref="AI8:AI17" si="2">$AI$18*AD8</f>
        <v>120</v>
      </c>
      <c r="AJ8" s="125">
        <f>AK8/AC8</f>
        <v>19000</v>
      </c>
      <c r="AK8" s="125">
        <f>AH8/AI8</f>
        <v>19000</v>
      </c>
      <c r="AL8" s="126">
        <f>IF($AZ$5="",AZ8,BM8)</f>
        <v>2375000</v>
      </c>
      <c r="AM8" s="127">
        <f>IF($AZ$5="",BA8,BN8)</f>
        <v>265.625</v>
      </c>
      <c r="AN8" s="126">
        <f t="shared" ref="AN8:AP23" si="3">IF($AZ$5="",BB8,BO8)</f>
        <v>8941.176470588236</v>
      </c>
      <c r="AO8" s="126">
        <f t="shared" si="3"/>
        <v>8941.176470588236</v>
      </c>
      <c r="AP8" s="126">
        <f>IF($AZ$5="",BD8,BQ8)</f>
        <v>2375000</v>
      </c>
      <c r="AQ8" s="127">
        <f t="shared" ref="AQ8:AW23" si="4">IF($AZ$5="",BE8,BR8)</f>
        <v>265.625</v>
      </c>
      <c r="AR8" s="126">
        <f t="shared" si="4"/>
        <v>8941.176470588236</v>
      </c>
      <c r="AS8" s="126">
        <f t="shared" si="4"/>
        <v>8941.176470588236</v>
      </c>
      <c r="AT8" s="126">
        <f>IF($AZ$5="",BH8,BU8)</f>
        <v>2375000</v>
      </c>
      <c r="AU8" s="127">
        <f t="shared" si="4"/>
        <v>265.625</v>
      </c>
      <c r="AV8" s="126">
        <f t="shared" si="4"/>
        <v>8941.176470588236</v>
      </c>
      <c r="AW8" s="126">
        <f t="shared" si="4"/>
        <v>8941.176470588236</v>
      </c>
      <c r="AY8" s="36">
        <v>1</v>
      </c>
      <c r="AZ8" s="126">
        <f>$AZ$18*$AG8</f>
        <v>2375000</v>
      </c>
      <c r="BA8" s="36">
        <f>$BA$18*$AF8</f>
        <v>265.625</v>
      </c>
      <c r="BB8" s="126">
        <f>BC8/$AC8</f>
        <v>8941.176470588236</v>
      </c>
      <c r="BC8" s="126">
        <f t="shared" ref="BC8:BC17" si="5">AZ8/BA8</f>
        <v>8941.176470588236</v>
      </c>
      <c r="BD8" s="126">
        <f>$BD$18*$AG8</f>
        <v>2375000</v>
      </c>
      <c r="BE8" s="36">
        <f>$BE$18*$AF8</f>
        <v>265.625</v>
      </c>
      <c r="BF8" s="126">
        <f t="shared" ref="BF8:BF17" si="6">BG8/$AC8</f>
        <v>8941.176470588236</v>
      </c>
      <c r="BG8" s="126">
        <f t="shared" si="0"/>
        <v>8941.176470588236</v>
      </c>
      <c r="BH8" s="126">
        <f>$BH$18*$AG8</f>
        <v>2375000</v>
      </c>
      <c r="BI8" s="36">
        <f>$BI$18*$AF8</f>
        <v>265.625</v>
      </c>
      <c r="BJ8" s="126">
        <f t="shared" ref="BJ8:BJ17" si="7">BK8/$AC8</f>
        <v>8941.176470588236</v>
      </c>
      <c r="BK8" s="126">
        <f t="shared" ref="BK8:BK17" si="8">BH8/BI8</f>
        <v>8941.176470588236</v>
      </c>
      <c r="BM8" s="126">
        <f>$BM$18*$AG8</f>
        <v>2375000</v>
      </c>
      <c r="BN8" s="36">
        <f>BM8/BP8</f>
        <v>296.875</v>
      </c>
      <c r="BO8" s="126">
        <f>BO9</f>
        <v>8000</v>
      </c>
      <c r="BP8" s="126">
        <f>BO8*$AC8</f>
        <v>8000</v>
      </c>
      <c r="BQ8" s="126">
        <f t="shared" ref="BQ8:BQ17" si="9">$BQ$18*$AG8</f>
        <v>2375000</v>
      </c>
      <c r="BR8" s="36">
        <f>BQ8/BT8</f>
        <v>296.875</v>
      </c>
      <c r="BS8" s="126">
        <f>BS9</f>
        <v>8000</v>
      </c>
      <c r="BT8" s="126">
        <f t="shared" ref="BT8:BT17" si="10">BS8*$AC8</f>
        <v>8000</v>
      </c>
      <c r="BU8" s="126">
        <f>$BU$18*$AG8</f>
        <v>2375000</v>
      </c>
      <c r="BV8" s="36">
        <f>BU8/BX8</f>
        <v>296.875</v>
      </c>
      <c r="BW8" s="126">
        <f t="shared" ref="BW8:BW16" si="11">BW9</f>
        <v>8000</v>
      </c>
      <c r="BX8" s="126">
        <f t="shared" ref="BX8:BX17" si="12">BW8*$AC8</f>
        <v>8000</v>
      </c>
      <c r="BZ8" s="128">
        <v>20000</v>
      </c>
      <c r="CA8" s="129">
        <v>1</v>
      </c>
      <c r="CB8" s="130">
        <v>0</v>
      </c>
      <c r="CC8" s="131">
        <v>4000</v>
      </c>
      <c r="CD8" s="39" t="s">
        <v>37</v>
      </c>
      <c r="CE8" s="108" t="s">
        <v>95</v>
      </c>
      <c r="CF8" s="109">
        <f>CF6*CF7</f>
        <v>1</v>
      </c>
      <c r="CG8" s="110" t="s">
        <v>96</v>
      </c>
      <c r="CH8" s="99">
        <f>S8</f>
        <v>16000</v>
      </c>
      <c r="CI8" s="99">
        <f>S10</f>
        <v>8000</v>
      </c>
      <c r="CJ8" s="99">
        <f>R45</f>
        <v>1300000</v>
      </c>
      <c r="CK8" s="99">
        <f>R46</f>
        <v>2500000</v>
      </c>
      <c r="CL8" s="99">
        <f>IF(OR(CH8=0,CK8=0),"",CK8/CH8)</f>
        <v>156.25</v>
      </c>
      <c r="CM8" s="99">
        <f>SUM(CJ8:CK8)</f>
        <v>3800000</v>
      </c>
      <c r="CN8" s="99">
        <f>IF(OR(CH8=0,CM8=0),0,CM8/CH8)</f>
        <v>237.5</v>
      </c>
      <c r="CO8" s="99">
        <f>S45</f>
        <v>-260000</v>
      </c>
      <c r="CP8" s="111">
        <f>IF(S45=0,"",-S45/$D$45)</f>
        <v>0.104</v>
      </c>
      <c r="CT8" s="101"/>
    </row>
    <row r="9" spans="2:98" ht="1.5" customHeight="1" x14ac:dyDescent="0.2">
      <c r="B9" s="118"/>
      <c r="C9" s="119"/>
      <c r="D9" s="119"/>
      <c r="E9" s="86"/>
      <c r="F9" s="299"/>
      <c r="G9" s="119" t="s">
        <v>94</v>
      </c>
      <c r="H9" s="227"/>
      <c r="I9" s="228"/>
      <c r="J9" s="122"/>
      <c r="K9" s="299"/>
      <c r="L9" s="119" t="s">
        <v>94</v>
      </c>
      <c r="M9" s="229"/>
      <c r="N9" s="228"/>
      <c r="O9" s="122"/>
      <c r="P9" s="299"/>
      <c r="Q9" s="119" t="s">
        <v>94</v>
      </c>
      <c r="R9" s="229"/>
      <c r="S9" s="228"/>
      <c r="T9" s="122"/>
      <c r="U9" s="299"/>
      <c r="V9" s="119" t="s">
        <v>94</v>
      </c>
      <c r="W9" s="229"/>
      <c r="X9" s="228"/>
      <c r="Y9" s="87"/>
      <c r="AC9" s="36">
        <v>1.1000000000000001</v>
      </c>
      <c r="AD9" s="132">
        <v>1.514</v>
      </c>
      <c r="AE9" s="132">
        <v>0.95399999999999996</v>
      </c>
      <c r="AF9" s="132">
        <v>1.6099999999999999</v>
      </c>
      <c r="AG9" s="132">
        <v>0.95399999999999996</v>
      </c>
      <c r="AH9" s="126">
        <f t="shared" si="1"/>
        <v>2289600</v>
      </c>
      <c r="AI9" s="36">
        <f t="shared" si="2"/>
        <v>113.55</v>
      </c>
      <c r="AJ9" s="126">
        <f t="shared" ref="AJ9:AJ38" si="13">AK9/AC9</f>
        <v>18330.73135583043</v>
      </c>
      <c r="AK9" s="126">
        <f t="shared" ref="AK9:AK38" si="14">AH9/AI9</f>
        <v>20163.804491413473</v>
      </c>
      <c r="AL9" s="126">
        <f t="shared" ref="AL9:AW38" si="15">IF($AZ$5="",AZ9,BM9)</f>
        <v>2385000</v>
      </c>
      <c r="AM9" s="127">
        <f t="shared" si="15"/>
        <v>251.56249999999997</v>
      </c>
      <c r="AN9" s="126">
        <f t="shared" si="3"/>
        <v>8618.8594014680966</v>
      </c>
      <c r="AO9" s="126">
        <f t="shared" si="3"/>
        <v>9480.7453416149074</v>
      </c>
      <c r="AP9" s="126">
        <f t="shared" si="3"/>
        <v>2385000</v>
      </c>
      <c r="AQ9" s="127">
        <f t="shared" si="4"/>
        <v>251.56249999999997</v>
      </c>
      <c r="AR9" s="126">
        <f t="shared" si="4"/>
        <v>8618.8594014680966</v>
      </c>
      <c r="AS9" s="126">
        <f t="shared" si="4"/>
        <v>9480.7453416149074</v>
      </c>
      <c r="AT9" s="126">
        <f t="shared" si="4"/>
        <v>2385000</v>
      </c>
      <c r="AU9" s="127">
        <f t="shared" si="4"/>
        <v>251.56249999999997</v>
      </c>
      <c r="AV9" s="126">
        <f t="shared" si="4"/>
        <v>8618.8594014680966</v>
      </c>
      <c r="AW9" s="126">
        <f t="shared" si="4"/>
        <v>9480.7453416149074</v>
      </c>
      <c r="AY9" s="36">
        <v>1.1000000000000001</v>
      </c>
      <c r="AZ9" s="126">
        <f t="shared" ref="AZ9:AZ17" si="16">$AZ$18*$AG9</f>
        <v>2385000</v>
      </c>
      <c r="BA9" s="36">
        <f t="shared" ref="BA9:BA17" si="17">$BA$18*$AF9</f>
        <v>251.56249999999997</v>
      </c>
      <c r="BB9" s="126">
        <f t="shared" ref="BB9:BB17" si="18">BC9/$AC9</f>
        <v>8618.8594014680966</v>
      </c>
      <c r="BC9" s="126">
        <f t="shared" si="5"/>
        <v>9480.7453416149074</v>
      </c>
      <c r="BD9" s="126">
        <f t="shared" ref="BD9:BD17" si="19">$BD$18*$AG9</f>
        <v>2385000</v>
      </c>
      <c r="BE9" s="36">
        <f t="shared" ref="BE9:BE17" si="20">$BE$18*$AF9</f>
        <v>251.56249999999997</v>
      </c>
      <c r="BF9" s="126">
        <f t="shared" si="6"/>
        <v>8618.8594014680966</v>
      </c>
      <c r="BG9" s="126">
        <f t="shared" si="0"/>
        <v>9480.7453416149074</v>
      </c>
      <c r="BH9" s="126">
        <f t="shared" ref="BH9:BH17" si="21">$BH$18*$AG9</f>
        <v>2385000</v>
      </c>
      <c r="BI9" s="36">
        <f t="shared" ref="BI9:BI17" si="22">$BI$18*$AF9</f>
        <v>251.56249999999997</v>
      </c>
      <c r="BJ9" s="126">
        <f t="shared" si="7"/>
        <v>8618.8594014680966</v>
      </c>
      <c r="BK9" s="126">
        <f t="shared" si="8"/>
        <v>9480.7453416149074</v>
      </c>
      <c r="BM9" s="126">
        <f>$BM$18*AG9</f>
        <v>2385000</v>
      </c>
      <c r="BN9" s="36">
        <f t="shared" ref="BN9:BN17" si="23">BM9/BP9</f>
        <v>271.02272727272725</v>
      </c>
      <c r="BO9" s="126">
        <f t="shared" ref="BO9:BO16" si="24">BO10</f>
        <v>8000</v>
      </c>
      <c r="BP9" s="126">
        <f t="shared" ref="BP9:BP17" si="25">BO9*AC9</f>
        <v>8800</v>
      </c>
      <c r="BQ9" s="126">
        <f t="shared" si="9"/>
        <v>2385000</v>
      </c>
      <c r="BR9" s="36">
        <f t="shared" ref="BR9:BR17" si="26">BQ9/BT9</f>
        <v>271.02272727272725</v>
      </c>
      <c r="BS9" s="126">
        <f>BS10</f>
        <v>8000</v>
      </c>
      <c r="BT9" s="126">
        <f t="shared" si="10"/>
        <v>8800</v>
      </c>
      <c r="BU9" s="126">
        <f t="shared" ref="BU9:BU17" si="27">$BU$18*$AG9</f>
        <v>2385000</v>
      </c>
      <c r="BV9" s="36">
        <f t="shared" ref="BV9:BV17" si="28">BU9/BX9</f>
        <v>271.02272727272725</v>
      </c>
      <c r="BW9" s="126">
        <f t="shared" si="11"/>
        <v>8000</v>
      </c>
      <c r="BX9" s="126">
        <f t="shared" si="12"/>
        <v>8800</v>
      </c>
      <c r="BZ9" s="128">
        <v>24000</v>
      </c>
      <c r="CA9" s="129">
        <v>1.1000000000000001</v>
      </c>
      <c r="CB9" s="130">
        <v>0.01</v>
      </c>
      <c r="CC9" s="131">
        <f>CC8+500</f>
        <v>4500</v>
      </c>
      <c r="CD9" s="39" t="s">
        <v>39</v>
      </c>
      <c r="CE9" s="133" t="s">
        <v>15</v>
      </c>
      <c r="CF9" s="126">
        <f>VLOOKUP(D8,SOURCE!B5:D36,3,FALSE)</f>
        <v>24200</v>
      </c>
      <c r="CG9" s="110" t="s">
        <v>97</v>
      </c>
      <c r="CH9" s="134">
        <f>X8</f>
        <v>16000</v>
      </c>
      <c r="CI9" s="134">
        <f>X10</f>
        <v>8000</v>
      </c>
      <c r="CJ9" s="134">
        <f>W45</f>
        <v>0</v>
      </c>
      <c r="CK9" s="134">
        <f>W46</f>
        <v>2500000</v>
      </c>
      <c r="CL9" s="99">
        <f>IF(OR(CH9=0,CK9=0),"",CK9/CH9)</f>
        <v>156.25</v>
      </c>
      <c r="CM9" s="99">
        <f>SUM(CJ9:CK9)</f>
        <v>2500000</v>
      </c>
      <c r="CN9" s="99">
        <f>IF(OR(CH9=0,CM9=0),0,CM9/CH9)</f>
        <v>156.25</v>
      </c>
      <c r="CO9" s="134">
        <f>X45</f>
        <v>0</v>
      </c>
      <c r="CP9" s="111" t="str">
        <f>IF(X45=0,"",-X45/$D$45)</f>
        <v/>
      </c>
      <c r="CT9" s="101"/>
    </row>
    <row r="10" spans="2:98" x14ac:dyDescent="0.2">
      <c r="B10" s="118" t="s">
        <v>98</v>
      </c>
      <c r="C10" s="119"/>
      <c r="D10" s="135">
        <v>2</v>
      </c>
      <c r="E10" s="86"/>
      <c r="F10" s="299"/>
      <c r="G10" s="119" t="s">
        <v>99</v>
      </c>
      <c r="H10" s="144"/>
      <c r="I10" s="228">
        <f>VLOOKUP($D$10,$AC$8:$AW$38,8,FALSE)</f>
        <v>16000</v>
      </c>
      <c r="J10" s="122"/>
      <c r="K10" s="299"/>
      <c r="L10" s="119" t="s">
        <v>99</v>
      </c>
      <c r="M10" s="229"/>
      <c r="N10" s="228">
        <f>IF(I12="",0,VLOOKUP($D$10,$AC$8:$AW$38,12,FALSE))</f>
        <v>8000</v>
      </c>
      <c r="O10" s="122"/>
      <c r="P10" s="299"/>
      <c r="Q10" s="119" t="s">
        <v>99</v>
      </c>
      <c r="R10" s="229"/>
      <c r="S10" s="228">
        <f>IF(N12="",0,VLOOKUP($D$10,$AC$8:$AW$38,16,FALSE))</f>
        <v>8000</v>
      </c>
      <c r="T10" s="122"/>
      <c r="U10" s="299"/>
      <c r="V10" s="119" t="s">
        <v>99</v>
      </c>
      <c r="W10" s="229"/>
      <c r="X10" s="228">
        <f>IF(S12="",0,VLOOKUP($D$10,$AC$8:$AW$38,20,FALSE))</f>
        <v>8000</v>
      </c>
      <c r="Y10" s="87"/>
      <c r="AC10" s="36">
        <v>1.2</v>
      </c>
      <c r="AD10" s="132">
        <v>1.4279999999999999</v>
      </c>
      <c r="AE10" s="132">
        <v>0.95799999999999996</v>
      </c>
      <c r="AF10" s="132">
        <v>1.5199999999999998</v>
      </c>
      <c r="AG10" s="132">
        <v>0.95799999999999996</v>
      </c>
      <c r="AH10" s="126">
        <f t="shared" si="1"/>
        <v>2299200</v>
      </c>
      <c r="AI10" s="36">
        <f t="shared" si="2"/>
        <v>107.1</v>
      </c>
      <c r="AJ10" s="126">
        <f t="shared" si="13"/>
        <v>17889.822595704951</v>
      </c>
      <c r="AK10" s="126">
        <f t="shared" si="14"/>
        <v>21467.787114845938</v>
      </c>
      <c r="AL10" s="126">
        <f t="shared" si="15"/>
        <v>2395000</v>
      </c>
      <c r="AM10" s="127">
        <f t="shared" si="15"/>
        <v>237.49999999999997</v>
      </c>
      <c r="AN10" s="126">
        <f t="shared" si="3"/>
        <v>8403.5087719298263</v>
      </c>
      <c r="AO10" s="126">
        <f t="shared" si="3"/>
        <v>10084.21052631579</v>
      </c>
      <c r="AP10" s="126">
        <f t="shared" si="3"/>
        <v>2395000</v>
      </c>
      <c r="AQ10" s="127">
        <f t="shared" si="4"/>
        <v>237.49999999999997</v>
      </c>
      <c r="AR10" s="126">
        <f t="shared" si="4"/>
        <v>8403.5087719298263</v>
      </c>
      <c r="AS10" s="126">
        <f t="shared" si="4"/>
        <v>10084.21052631579</v>
      </c>
      <c r="AT10" s="126">
        <f t="shared" si="4"/>
        <v>2395000</v>
      </c>
      <c r="AU10" s="127">
        <f t="shared" si="4"/>
        <v>237.49999999999997</v>
      </c>
      <c r="AV10" s="126">
        <f t="shared" si="4"/>
        <v>8403.5087719298263</v>
      </c>
      <c r="AW10" s="126">
        <f t="shared" si="4"/>
        <v>10084.21052631579</v>
      </c>
      <c r="AY10" s="36">
        <v>1.2</v>
      </c>
      <c r="AZ10" s="126">
        <f t="shared" si="16"/>
        <v>2395000</v>
      </c>
      <c r="BA10" s="36">
        <f t="shared" si="17"/>
        <v>237.49999999999997</v>
      </c>
      <c r="BB10" s="126">
        <f>BC10/$AC10</f>
        <v>8403.5087719298263</v>
      </c>
      <c r="BC10" s="126">
        <f t="shared" si="5"/>
        <v>10084.21052631579</v>
      </c>
      <c r="BD10" s="126">
        <f t="shared" si="19"/>
        <v>2395000</v>
      </c>
      <c r="BE10" s="36">
        <f t="shared" si="20"/>
        <v>237.49999999999997</v>
      </c>
      <c r="BF10" s="126">
        <f t="shared" si="6"/>
        <v>8403.5087719298263</v>
      </c>
      <c r="BG10" s="126">
        <f t="shared" si="0"/>
        <v>10084.21052631579</v>
      </c>
      <c r="BH10" s="126">
        <f t="shared" si="21"/>
        <v>2395000</v>
      </c>
      <c r="BI10" s="36">
        <f t="shared" si="22"/>
        <v>237.49999999999997</v>
      </c>
      <c r="BJ10" s="126">
        <f t="shared" si="7"/>
        <v>8403.5087719298263</v>
      </c>
      <c r="BK10" s="126">
        <f>BH10/BI10</f>
        <v>10084.21052631579</v>
      </c>
      <c r="BM10" s="126">
        <f t="shared" ref="BM10:BM15" si="29">$BM$18*AG10</f>
        <v>2395000</v>
      </c>
      <c r="BN10" s="36">
        <f t="shared" si="23"/>
        <v>249.47916666666666</v>
      </c>
      <c r="BO10" s="126">
        <f t="shared" si="24"/>
        <v>8000</v>
      </c>
      <c r="BP10" s="126">
        <f>BO10*AC10</f>
        <v>9600</v>
      </c>
      <c r="BQ10" s="126">
        <f t="shared" si="9"/>
        <v>2395000</v>
      </c>
      <c r="BR10" s="36">
        <f t="shared" si="26"/>
        <v>249.47916666666666</v>
      </c>
      <c r="BS10" s="126">
        <f t="shared" ref="BS10:BS16" si="30">BS11</f>
        <v>8000</v>
      </c>
      <c r="BT10" s="126">
        <f t="shared" si="10"/>
        <v>9600</v>
      </c>
      <c r="BU10" s="126">
        <f t="shared" si="27"/>
        <v>2395000</v>
      </c>
      <c r="BV10" s="36">
        <f t="shared" si="28"/>
        <v>249.47916666666666</v>
      </c>
      <c r="BW10" s="126">
        <f t="shared" si="11"/>
        <v>8000</v>
      </c>
      <c r="BX10" s="126">
        <f t="shared" si="12"/>
        <v>9600</v>
      </c>
      <c r="BZ10" s="128">
        <v>27000</v>
      </c>
      <c r="CA10" s="129">
        <v>1.2</v>
      </c>
      <c r="CB10" s="130">
        <v>0.02</v>
      </c>
      <c r="CC10" s="131">
        <f t="shared" ref="CC10:CC20" si="31">CC9+500</f>
        <v>5000</v>
      </c>
      <c r="CD10" s="39" t="s">
        <v>41</v>
      </c>
      <c r="CE10" s="133" t="s">
        <v>100</v>
      </c>
      <c r="CF10" s="136" t="str">
        <f>IF(CF9&lt;25000,"True","")</f>
        <v>True</v>
      </c>
      <c r="CG10" s="137" t="s">
        <v>101</v>
      </c>
      <c r="CH10" s="138">
        <f>SUM(CH6:CH9)</f>
        <v>80000</v>
      </c>
      <c r="CI10" s="138">
        <f>SUM(CI6:CI9)</f>
        <v>40000</v>
      </c>
      <c r="CJ10" s="138">
        <f>SUM(CJ6:CJ9)</f>
        <v>3800000</v>
      </c>
      <c r="CK10" s="138">
        <f>SUM(CK6:CK9)</f>
        <v>9962500</v>
      </c>
      <c r="CL10" s="99">
        <f>IF(OR(CH10=0,CK10=0),0,CK10/CH10)</f>
        <v>124.53125</v>
      </c>
      <c r="CM10" s="138">
        <f>SUM(CM6:CM9)</f>
        <v>13762500</v>
      </c>
      <c r="CN10" s="99">
        <f>IF(OR(CH10="",CM10=""),"",CM10/CH10)</f>
        <v>172.03125</v>
      </c>
      <c r="CO10" s="138">
        <f>SUM(CO6:CO9)</f>
        <v>-664000</v>
      </c>
      <c r="CP10" s="139">
        <f>IF(CP6="",0,AVERAGE(CP6:CP9))</f>
        <v>8.8533333333333339E-2</v>
      </c>
      <c r="CT10" s="101"/>
    </row>
    <row r="11" spans="2:98" ht="1.5" customHeight="1" x14ac:dyDescent="0.2">
      <c r="B11" s="118"/>
      <c r="C11" s="119"/>
      <c r="D11" s="119"/>
      <c r="E11" s="86"/>
      <c r="F11" s="299"/>
      <c r="G11" s="119"/>
      <c r="H11" s="144"/>
      <c r="I11" s="230"/>
      <c r="J11" s="87"/>
      <c r="K11" s="299"/>
      <c r="L11" s="119"/>
      <c r="M11" s="144"/>
      <c r="N11" s="230"/>
      <c r="O11" s="87"/>
      <c r="P11" s="299"/>
      <c r="Q11" s="119"/>
      <c r="R11" s="144"/>
      <c r="S11" s="230"/>
      <c r="T11" s="87"/>
      <c r="U11" s="299"/>
      <c r="V11" s="119"/>
      <c r="W11" s="144"/>
      <c r="X11" s="230"/>
      <c r="Y11" s="87"/>
      <c r="AC11" s="36">
        <v>1.3</v>
      </c>
      <c r="AD11" s="132">
        <v>1.3419999999999999</v>
      </c>
      <c r="AE11" s="132">
        <v>0.96199999999999997</v>
      </c>
      <c r="AF11" s="132">
        <v>1.4299999999999997</v>
      </c>
      <c r="AG11" s="132">
        <v>0.96199999999999997</v>
      </c>
      <c r="AH11" s="126">
        <f t="shared" si="1"/>
        <v>2308800</v>
      </c>
      <c r="AI11" s="36">
        <f t="shared" si="2"/>
        <v>100.64999999999999</v>
      </c>
      <c r="AJ11" s="126">
        <f t="shared" si="13"/>
        <v>17645.305514157975</v>
      </c>
      <c r="AK11" s="126">
        <f t="shared" si="14"/>
        <v>22938.897168405369</v>
      </c>
      <c r="AL11" s="126">
        <f t="shared" si="15"/>
        <v>2405000</v>
      </c>
      <c r="AM11" s="127">
        <f t="shared" si="15"/>
        <v>223.43749999999994</v>
      </c>
      <c r="AN11" s="126">
        <f t="shared" si="3"/>
        <v>8279.7202797202808</v>
      </c>
      <c r="AO11" s="126">
        <f t="shared" si="3"/>
        <v>10763.636363636366</v>
      </c>
      <c r="AP11" s="126">
        <f t="shared" si="3"/>
        <v>2405000</v>
      </c>
      <c r="AQ11" s="127">
        <f t="shared" si="4"/>
        <v>223.43749999999994</v>
      </c>
      <c r="AR11" s="126">
        <f t="shared" si="4"/>
        <v>8279.7202797202808</v>
      </c>
      <c r="AS11" s="126">
        <f t="shared" si="4"/>
        <v>10763.636363636366</v>
      </c>
      <c r="AT11" s="126">
        <f t="shared" si="4"/>
        <v>2405000</v>
      </c>
      <c r="AU11" s="127">
        <f t="shared" si="4"/>
        <v>223.43749999999994</v>
      </c>
      <c r="AV11" s="126">
        <f t="shared" si="4"/>
        <v>8279.7202797202808</v>
      </c>
      <c r="AW11" s="126">
        <f t="shared" si="4"/>
        <v>10763.636363636366</v>
      </c>
      <c r="AY11" s="36">
        <v>1.3</v>
      </c>
      <c r="AZ11" s="126">
        <f t="shared" si="16"/>
        <v>2405000</v>
      </c>
      <c r="BA11" s="36">
        <f t="shared" si="17"/>
        <v>223.43749999999994</v>
      </c>
      <c r="BB11" s="126">
        <f t="shared" si="18"/>
        <v>8279.7202797202808</v>
      </c>
      <c r="BC11" s="126">
        <f t="shared" si="5"/>
        <v>10763.636363636366</v>
      </c>
      <c r="BD11" s="126">
        <f t="shared" si="19"/>
        <v>2405000</v>
      </c>
      <c r="BE11" s="36">
        <f t="shared" si="20"/>
        <v>223.43749999999994</v>
      </c>
      <c r="BF11" s="126">
        <f t="shared" si="6"/>
        <v>8279.7202797202808</v>
      </c>
      <c r="BG11" s="126">
        <f t="shared" si="0"/>
        <v>10763.636363636366</v>
      </c>
      <c r="BH11" s="126">
        <f t="shared" si="21"/>
        <v>2405000</v>
      </c>
      <c r="BI11" s="36">
        <f t="shared" si="22"/>
        <v>223.43749999999994</v>
      </c>
      <c r="BJ11" s="126">
        <f t="shared" si="7"/>
        <v>8279.7202797202808</v>
      </c>
      <c r="BK11" s="126">
        <f t="shared" si="8"/>
        <v>10763.636363636366</v>
      </c>
      <c r="BM11" s="126">
        <f t="shared" si="29"/>
        <v>2405000</v>
      </c>
      <c r="BN11" s="36">
        <f t="shared" si="23"/>
        <v>231.25</v>
      </c>
      <c r="BO11" s="126">
        <f t="shared" si="24"/>
        <v>8000</v>
      </c>
      <c r="BP11" s="126">
        <f t="shared" si="25"/>
        <v>10400</v>
      </c>
      <c r="BQ11" s="126">
        <f t="shared" si="9"/>
        <v>2405000</v>
      </c>
      <c r="BR11" s="36">
        <f t="shared" si="26"/>
        <v>231.25</v>
      </c>
      <c r="BS11" s="126">
        <f t="shared" si="30"/>
        <v>8000</v>
      </c>
      <c r="BT11" s="126">
        <f t="shared" si="10"/>
        <v>10400</v>
      </c>
      <c r="BU11" s="126">
        <f t="shared" si="27"/>
        <v>2405000</v>
      </c>
      <c r="BV11" s="36">
        <f t="shared" si="28"/>
        <v>231.25</v>
      </c>
      <c r="BW11" s="126">
        <f t="shared" si="11"/>
        <v>8000</v>
      </c>
      <c r="BX11" s="126">
        <f t="shared" si="12"/>
        <v>10400</v>
      </c>
      <c r="BZ11" s="140"/>
      <c r="CA11" s="129">
        <v>1.3</v>
      </c>
      <c r="CB11" s="130">
        <v>0.03</v>
      </c>
      <c r="CC11" s="131">
        <f t="shared" si="31"/>
        <v>5500</v>
      </c>
      <c r="CD11" s="141"/>
      <c r="CG11" s="78" t="s">
        <v>102</v>
      </c>
      <c r="CI11" s="79" t="s">
        <v>103</v>
      </c>
      <c r="CK11" s="79" t="s">
        <v>104</v>
      </c>
      <c r="CN11" s="79" t="s">
        <v>105</v>
      </c>
      <c r="CT11" s="88"/>
    </row>
    <row r="12" spans="2:98" x14ac:dyDescent="0.2">
      <c r="B12" s="118" t="s">
        <v>106</v>
      </c>
      <c r="C12" s="119"/>
      <c r="D12" s="142">
        <v>0.1</v>
      </c>
      <c r="E12" s="86"/>
      <c r="F12" s="299"/>
      <c r="G12" s="143" t="s">
        <v>107</v>
      </c>
      <c r="H12" s="144"/>
      <c r="I12" s="145">
        <v>8000</v>
      </c>
      <c r="J12" s="87"/>
      <c r="K12" s="299"/>
      <c r="L12" s="143" t="s">
        <v>107</v>
      </c>
      <c r="M12" s="144"/>
      <c r="N12" s="145">
        <v>8000</v>
      </c>
      <c r="O12" s="87"/>
      <c r="P12" s="299"/>
      <c r="Q12" s="143" t="s">
        <v>107</v>
      </c>
      <c r="R12" s="144"/>
      <c r="S12" s="145">
        <v>8000</v>
      </c>
      <c r="T12" s="87"/>
      <c r="U12" s="299"/>
      <c r="V12" s="143" t="s">
        <v>107</v>
      </c>
      <c r="W12" s="144"/>
      <c r="X12" s="145">
        <v>8000</v>
      </c>
      <c r="Y12" s="87"/>
      <c r="AC12" s="36">
        <v>1.4</v>
      </c>
      <c r="AD12" s="132">
        <v>1.2559999999999998</v>
      </c>
      <c r="AE12" s="132">
        <v>0.96599999999999997</v>
      </c>
      <c r="AF12" s="132">
        <v>1.3399999999999996</v>
      </c>
      <c r="AG12" s="132">
        <v>0.96599999999999997</v>
      </c>
      <c r="AH12" s="126">
        <f t="shared" si="1"/>
        <v>2318400</v>
      </c>
      <c r="AI12" s="36">
        <f t="shared" si="2"/>
        <v>94.199999999999989</v>
      </c>
      <c r="AJ12" s="126">
        <f t="shared" si="13"/>
        <v>17579.617834394907</v>
      </c>
      <c r="AK12" s="126">
        <f t="shared" si="14"/>
        <v>24611.464968152868</v>
      </c>
      <c r="AL12" s="126">
        <f t="shared" si="15"/>
        <v>2415000</v>
      </c>
      <c r="AM12" s="127">
        <f t="shared" si="15"/>
        <v>209.37499999999994</v>
      </c>
      <c r="AN12" s="126">
        <f t="shared" si="3"/>
        <v>8238.8059701492566</v>
      </c>
      <c r="AO12" s="126">
        <f t="shared" si="3"/>
        <v>11534.328358208959</v>
      </c>
      <c r="AP12" s="126">
        <f t="shared" si="3"/>
        <v>2415000</v>
      </c>
      <c r="AQ12" s="127">
        <f t="shared" si="4"/>
        <v>209.37499999999994</v>
      </c>
      <c r="AR12" s="126">
        <f t="shared" si="4"/>
        <v>8238.8059701492566</v>
      </c>
      <c r="AS12" s="126">
        <f t="shared" si="4"/>
        <v>11534.328358208959</v>
      </c>
      <c r="AT12" s="126">
        <f>IF($AZ$5="",BH12,BU12)</f>
        <v>2415000</v>
      </c>
      <c r="AU12" s="127">
        <f t="shared" si="4"/>
        <v>209.37499999999994</v>
      </c>
      <c r="AV12" s="126">
        <f t="shared" si="4"/>
        <v>8238.8059701492566</v>
      </c>
      <c r="AW12" s="126">
        <f t="shared" si="4"/>
        <v>11534.328358208959</v>
      </c>
      <c r="AY12" s="36">
        <v>1.4</v>
      </c>
      <c r="AZ12" s="126">
        <f t="shared" si="16"/>
        <v>2415000</v>
      </c>
      <c r="BA12" s="36">
        <f t="shared" si="17"/>
        <v>209.37499999999994</v>
      </c>
      <c r="BB12" s="126">
        <f t="shared" si="18"/>
        <v>8238.8059701492566</v>
      </c>
      <c r="BC12" s="126">
        <f t="shared" si="5"/>
        <v>11534.328358208959</v>
      </c>
      <c r="BD12" s="126">
        <f t="shared" si="19"/>
        <v>2415000</v>
      </c>
      <c r="BE12" s="36">
        <f t="shared" si="20"/>
        <v>209.37499999999994</v>
      </c>
      <c r="BF12" s="126">
        <f t="shared" si="6"/>
        <v>8238.8059701492566</v>
      </c>
      <c r="BG12" s="126">
        <f t="shared" si="0"/>
        <v>11534.328358208959</v>
      </c>
      <c r="BH12" s="126">
        <f t="shared" si="21"/>
        <v>2415000</v>
      </c>
      <c r="BI12" s="36">
        <f t="shared" si="22"/>
        <v>209.37499999999994</v>
      </c>
      <c r="BJ12" s="126">
        <f t="shared" si="7"/>
        <v>8238.8059701492566</v>
      </c>
      <c r="BK12" s="126">
        <f t="shared" si="8"/>
        <v>11534.328358208959</v>
      </c>
      <c r="BM12" s="126">
        <f t="shared" si="29"/>
        <v>2415000</v>
      </c>
      <c r="BN12" s="36">
        <f t="shared" si="23"/>
        <v>215.625</v>
      </c>
      <c r="BO12" s="126">
        <f t="shared" si="24"/>
        <v>8000</v>
      </c>
      <c r="BP12" s="126">
        <f t="shared" si="25"/>
        <v>11200</v>
      </c>
      <c r="BQ12" s="126">
        <f t="shared" si="9"/>
        <v>2415000</v>
      </c>
      <c r="BR12" s="36">
        <f t="shared" si="26"/>
        <v>215.625</v>
      </c>
      <c r="BS12" s="126">
        <f t="shared" si="30"/>
        <v>8000</v>
      </c>
      <c r="BT12" s="126">
        <f t="shared" si="10"/>
        <v>11200</v>
      </c>
      <c r="BU12" s="126">
        <f t="shared" si="27"/>
        <v>2415000</v>
      </c>
      <c r="BV12" s="36">
        <f t="shared" si="28"/>
        <v>215.625</v>
      </c>
      <c r="BW12" s="126">
        <f t="shared" si="11"/>
        <v>8000</v>
      </c>
      <c r="BX12" s="126">
        <f t="shared" si="12"/>
        <v>11200</v>
      </c>
      <c r="BZ12" s="140"/>
      <c r="CA12" s="129">
        <v>1.4</v>
      </c>
      <c r="CB12" s="130">
        <v>0.04</v>
      </c>
      <c r="CC12" s="131">
        <f t="shared" si="31"/>
        <v>6000</v>
      </c>
      <c r="CD12" s="141"/>
      <c r="CE12" s="146"/>
      <c r="CF12" s="146"/>
      <c r="CG12" s="78" t="str">
        <f>"PR :   $"&amp;TEXT(CH12,"0.00")&amp;" M"</f>
        <v>PR :   $2.40 M</v>
      </c>
      <c r="CH12" s="147">
        <f>IF(CK6=0,0,CK6/1000000)</f>
        <v>2.4</v>
      </c>
      <c r="CI12" s="79" t="str">
        <f>"PR :   $"&amp;TEXT(CJ12,"0.00")&amp;" M"</f>
        <v>PR :   $2.56 M</v>
      </c>
      <c r="CJ12" s="147">
        <f>IF(CK7=0,0,CK7/1000000)</f>
        <v>2.5625</v>
      </c>
      <c r="CK12" s="79" t="str">
        <f>"PR :   $"&amp;TEXT(CL12,"0.00")&amp;" M"</f>
        <v>PR :   $2.50 M</v>
      </c>
      <c r="CL12" s="147">
        <f>IF(CK8=0,0,CK8/1000000)</f>
        <v>2.5</v>
      </c>
      <c r="CM12" s="79" t="str">
        <f>"PR :   $"&amp;TEXT(CN12,"0.00")&amp;" M"</f>
        <v>PR :   $2.50 M</v>
      </c>
      <c r="CN12" s="147">
        <f>IF(CK9=0,0,CK9/1000000)</f>
        <v>2.5</v>
      </c>
      <c r="CO12" s="79" t="str">
        <f>"PR :   $"&amp;TEXT(CP12,"0.00")&amp;" M"</f>
        <v>PR :   $9.96 M</v>
      </c>
      <c r="CP12" s="147">
        <f>SUM(CH12,CJ12,CL12,CN12)</f>
        <v>9.9625000000000004</v>
      </c>
      <c r="CT12" s="88"/>
    </row>
    <row r="13" spans="2:98" ht="1.5" customHeight="1" x14ac:dyDescent="0.2">
      <c r="B13" s="118"/>
      <c r="C13" s="119"/>
      <c r="D13" s="119"/>
      <c r="E13" s="86"/>
      <c r="F13" s="299"/>
      <c r="G13" s="143"/>
      <c r="H13" s="143"/>
      <c r="I13" s="143"/>
      <c r="J13" s="87"/>
      <c r="K13" s="299"/>
      <c r="L13" s="143"/>
      <c r="M13" s="143"/>
      <c r="N13" s="143"/>
      <c r="O13" s="87"/>
      <c r="P13" s="299"/>
      <c r="Q13" s="143"/>
      <c r="R13" s="143"/>
      <c r="S13" s="143"/>
      <c r="T13" s="87"/>
      <c r="U13" s="299"/>
      <c r="V13" s="143"/>
      <c r="W13" s="143"/>
      <c r="X13" s="143"/>
      <c r="Y13" s="87"/>
      <c r="AC13" s="54">
        <v>1.5</v>
      </c>
      <c r="AD13" s="124">
        <v>1.17</v>
      </c>
      <c r="AE13" s="124">
        <v>0.97</v>
      </c>
      <c r="AF13" s="124">
        <v>1.25</v>
      </c>
      <c r="AG13" s="124">
        <v>0.97</v>
      </c>
      <c r="AH13" s="125">
        <f t="shared" si="1"/>
        <v>2328000</v>
      </c>
      <c r="AI13" s="54">
        <f t="shared" si="2"/>
        <v>87.75</v>
      </c>
      <c r="AJ13" s="125">
        <f t="shared" si="13"/>
        <v>17686.609686609689</v>
      </c>
      <c r="AK13" s="125">
        <f t="shared" si="14"/>
        <v>26529.914529914531</v>
      </c>
      <c r="AL13" s="126">
        <f t="shared" si="15"/>
        <v>2425000</v>
      </c>
      <c r="AM13" s="127">
        <f t="shared" si="15"/>
        <v>195.3125</v>
      </c>
      <c r="AN13" s="126">
        <f t="shared" si="3"/>
        <v>8277.3333333333339</v>
      </c>
      <c r="AO13" s="126">
        <f t="shared" si="3"/>
        <v>12416</v>
      </c>
      <c r="AP13" s="126">
        <f t="shared" si="3"/>
        <v>2425000</v>
      </c>
      <c r="AQ13" s="127">
        <f t="shared" si="4"/>
        <v>195.3125</v>
      </c>
      <c r="AR13" s="126">
        <f t="shared" si="4"/>
        <v>8277.3333333333339</v>
      </c>
      <c r="AS13" s="126">
        <f t="shared" si="4"/>
        <v>12416</v>
      </c>
      <c r="AT13" s="126">
        <f t="shared" si="4"/>
        <v>2425000</v>
      </c>
      <c r="AU13" s="127">
        <f t="shared" si="4"/>
        <v>195.3125</v>
      </c>
      <c r="AV13" s="126">
        <f t="shared" si="4"/>
        <v>8277.3333333333339</v>
      </c>
      <c r="AW13" s="126">
        <f t="shared" si="4"/>
        <v>12416</v>
      </c>
      <c r="AY13" s="36">
        <v>1.5</v>
      </c>
      <c r="AZ13" s="126">
        <f t="shared" si="16"/>
        <v>2425000</v>
      </c>
      <c r="BA13" s="36">
        <f t="shared" si="17"/>
        <v>195.3125</v>
      </c>
      <c r="BB13" s="126">
        <f t="shared" si="18"/>
        <v>8277.3333333333339</v>
      </c>
      <c r="BC13" s="126">
        <f t="shared" si="5"/>
        <v>12416</v>
      </c>
      <c r="BD13" s="126">
        <f t="shared" si="19"/>
        <v>2425000</v>
      </c>
      <c r="BE13" s="36">
        <f t="shared" si="20"/>
        <v>195.3125</v>
      </c>
      <c r="BF13" s="126">
        <f t="shared" si="6"/>
        <v>8277.3333333333339</v>
      </c>
      <c r="BG13" s="126">
        <f t="shared" si="0"/>
        <v>12416</v>
      </c>
      <c r="BH13" s="126">
        <f t="shared" si="21"/>
        <v>2425000</v>
      </c>
      <c r="BI13" s="36">
        <f t="shared" si="22"/>
        <v>195.3125</v>
      </c>
      <c r="BJ13" s="126">
        <f t="shared" si="7"/>
        <v>8277.3333333333339</v>
      </c>
      <c r="BK13" s="126">
        <f t="shared" si="8"/>
        <v>12416</v>
      </c>
      <c r="BM13" s="126">
        <f t="shared" si="29"/>
        <v>2425000</v>
      </c>
      <c r="BN13" s="36">
        <f t="shared" si="23"/>
        <v>202.08333333333334</v>
      </c>
      <c r="BO13" s="126">
        <f t="shared" si="24"/>
        <v>8000</v>
      </c>
      <c r="BP13" s="126">
        <f t="shared" si="25"/>
        <v>12000</v>
      </c>
      <c r="BQ13" s="126">
        <f t="shared" si="9"/>
        <v>2425000</v>
      </c>
      <c r="BR13" s="36">
        <f t="shared" si="26"/>
        <v>202.08333333333334</v>
      </c>
      <c r="BS13" s="126">
        <f t="shared" si="30"/>
        <v>8000</v>
      </c>
      <c r="BT13" s="126">
        <f t="shared" si="10"/>
        <v>12000</v>
      </c>
      <c r="BU13" s="126">
        <f t="shared" si="27"/>
        <v>2425000</v>
      </c>
      <c r="BV13" s="36">
        <f t="shared" si="28"/>
        <v>202.08333333333334</v>
      </c>
      <c r="BW13" s="126">
        <f t="shared" si="11"/>
        <v>8000</v>
      </c>
      <c r="BX13" s="126">
        <f t="shared" si="12"/>
        <v>12000</v>
      </c>
      <c r="BZ13" s="140"/>
      <c r="CA13" s="129">
        <v>1.5</v>
      </c>
      <c r="CB13" s="130">
        <v>0.05</v>
      </c>
      <c r="CC13" s="131">
        <f t="shared" si="31"/>
        <v>6500</v>
      </c>
      <c r="CD13" s="141"/>
      <c r="CE13" s="146"/>
      <c r="CF13" s="146"/>
      <c r="CG13" s="78" t="str">
        <f>"LLP :  $"&amp;TEXT(CH13,"0.00")&amp;" M"</f>
        <v>LLP :  $1.30 M</v>
      </c>
      <c r="CH13" s="147">
        <f>IF(CJ6=0,"",CJ6/1000000)</f>
        <v>1.3</v>
      </c>
      <c r="CI13" s="79" t="str">
        <f>"LLP :  $"&amp;TEXT(CJ13,"0.00")&amp;" M"</f>
        <v>LLP :  $1.20 M</v>
      </c>
      <c r="CJ13" s="147">
        <f>IF(CJ7=0,0,CJ7/1000000)</f>
        <v>1.2</v>
      </c>
      <c r="CK13" s="79" t="str">
        <f>"LLP :  $"&amp;TEXT(CL13,"0.00")&amp;" M"</f>
        <v>LLP :  $1.30 M</v>
      </c>
      <c r="CL13" s="147">
        <f>IF(CJ8=0,0,CJ8/1000000)</f>
        <v>1.3</v>
      </c>
      <c r="CM13" s="79" t="str">
        <f>"LLP :  $"&amp;TEXT(CN13,"0.00")&amp;" M"</f>
        <v>LLP :  $0.00 M</v>
      </c>
      <c r="CN13" s="147">
        <f>IF(CJ9=0,0,CJ9/1000000)</f>
        <v>0</v>
      </c>
      <c r="CO13" s="79" t="str">
        <f>"LLP :  $"&amp;TEXT(CP13,"0.00")&amp;" M"</f>
        <v>LLP :  $3.80 M</v>
      </c>
      <c r="CP13" s="147">
        <f>SUM(CH13,CJ13,CL13,CN13)</f>
        <v>3.8</v>
      </c>
      <c r="CT13" s="88"/>
    </row>
    <row r="14" spans="2:98" x14ac:dyDescent="0.2">
      <c r="B14" s="118" t="s">
        <v>108</v>
      </c>
      <c r="C14" s="119"/>
      <c r="D14" s="148" t="s">
        <v>37</v>
      </c>
      <c r="E14" s="86"/>
      <c r="F14" s="299"/>
      <c r="G14" s="143" t="s">
        <v>109</v>
      </c>
      <c r="H14" s="144"/>
      <c r="I14" s="231" t="str">
        <f>IF(I12="","",IF(AND($CF$10="True",H44=""),"PR",IF(AND($CF$10="True",H44&gt;0),"PR+",IF(H44="","PR",IF(H44&gt;0,"PR+")))))</f>
        <v>PR</v>
      </c>
      <c r="J14" s="87"/>
      <c r="K14" s="299"/>
      <c r="L14" s="143" t="s">
        <v>109</v>
      </c>
      <c r="M14" s="144"/>
      <c r="N14" s="231" t="str">
        <f>IF(N12="","",IF(AND($CF$10="True",M44=""),"PR",IF(AND($CF$10="True",M44&gt;0),"PR+",IF(M44="","PR",IF(M44&gt;0,"PR+")))))</f>
        <v>PR+</v>
      </c>
      <c r="O14" s="87"/>
      <c r="P14" s="299"/>
      <c r="Q14" s="143" t="s">
        <v>109</v>
      </c>
      <c r="R14" s="144"/>
      <c r="S14" s="231" t="str">
        <f>IF(S12="","",IF(AND($CF$10="True",R44=""),"PR",IF(AND($CF$10="True",R44&gt;0),"PR+",IF(R44="","PR",IF(R44&gt;0,"PR+")))))</f>
        <v>PR</v>
      </c>
      <c r="T14" s="87"/>
      <c r="U14" s="299"/>
      <c r="V14" s="143" t="s">
        <v>109</v>
      </c>
      <c r="W14" s="144"/>
      <c r="X14" s="231" t="str">
        <f>IF(X12="","",IF(AND($CF$10="True",W44=""),"PR",IF(AND($CF$10="True",W44&gt;0),"PR+",IF(W44="","PR",IF(W44&gt;0,"PR+")))))</f>
        <v>PR</v>
      </c>
      <c r="Y14" s="87"/>
      <c r="AC14" s="36">
        <v>1.6</v>
      </c>
      <c r="AD14" s="132">
        <v>1.1359999999999999</v>
      </c>
      <c r="AE14" s="132">
        <v>0.97599999999999998</v>
      </c>
      <c r="AF14" s="132">
        <v>1.2</v>
      </c>
      <c r="AG14" s="132">
        <v>0.97599999999999998</v>
      </c>
      <c r="AH14" s="126">
        <f t="shared" si="1"/>
        <v>2342400</v>
      </c>
      <c r="AI14" s="36">
        <f t="shared" si="2"/>
        <v>85.199999999999989</v>
      </c>
      <c r="AJ14" s="126">
        <f t="shared" si="13"/>
        <v>17183.098591549297</v>
      </c>
      <c r="AK14" s="126">
        <f>AH14/AI14</f>
        <v>27492.957746478878</v>
      </c>
      <c r="AL14" s="126">
        <f t="shared" si="15"/>
        <v>2440000</v>
      </c>
      <c r="AM14" s="127">
        <f t="shared" si="15"/>
        <v>187.5</v>
      </c>
      <c r="AN14" s="126">
        <f t="shared" si="3"/>
        <v>8133.333333333333</v>
      </c>
      <c r="AO14" s="126">
        <f t="shared" si="3"/>
        <v>13013.333333333334</v>
      </c>
      <c r="AP14" s="126">
        <f t="shared" si="3"/>
        <v>2440000</v>
      </c>
      <c r="AQ14" s="127">
        <f t="shared" si="4"/>
        <v>187.5</v>
      </c>
      <c r="AR14" s="126">
        <f t="shared" si="4"/>
        <v>8133.333333333333</v>
      </c>
      <c r="AS14" s="126">
        <f t="shared" si="4"/>
        <v>13013.333333333334</v>
      </c>
      <c r="AT14" s="126">
        <f t="shared" si="4"/>
        <v>2440000</v>
      </c>
      <c r="AU14" s="127">
        <f t="shared" si="4"/>
        <v>187.5</v>
      </c>
      <c r="AV14" s="126">
        <f t="shared" si="4"/>
        <v>8133.333333333333</v>
      </c>
      <c r="AW14" s="126">
        <f t="shared" si="4"/>
        <v>13013.333333333334</v>
      </c>
      <c r="AY14" s="36">
        <v>1.6</v>
      </c>
      <c r="AZ14" s="126">
        <f t="shared" si="16"/>
        <v>2440000</v>
      </c>
      <c r="BA14" s="36">
        <f t="shared" si="17"/>
        <v>187.5</v>
      </c>
      <c r="BB14" s="126">
        <f t="shared" si="18"/>
        <v>8133.333333333333</v>
      </c>
      <c r="BC14" s="126">
        <f t="shared" si="5"/>
        <v>13013.333333333334</v>
      </c>
      <c r="BD14" s="126">
        <f t="shared" si="19"/>
        <v>2440000</v>
      </c>
      <c r="BE14" s="36">
        <f t="shared" si="20"/>
        <v>187.5</v>
      </c>
      <c r="BF14" s="126">
        <f t="shared" si="6"/>
        <v>8133.333333333333</v>
      </c>
      <c r="BG14" s="126">
        <f t="shared" si="0"/>
        <v>13013.333333333334</v>
      </c>
      <c r="BH14" s="126">
        <f t="shared" si="21"/>
        <v>2440000</v>
      </c>
      <c r="BI14" s="36">
        <f t="shared" si="22"/>
        <v>187.5</v>
      </c>
      <c r="BJ14" s="126">
        <f t="shared" si="7"/>
        <v>8133.333333333333</v>
      </c>
      <c r="BK14" s="126">
        <f t="shared" si="8"/>
        <v>13013.333333333334</v>
      </c>
      <c r="BM14" s="126">
        <f t="shared" si="29"/>
        <v>2440000</v>
      </c>
      <c r="BN14" s="36">
        <f t="shared" si="23"/>
        <v>190.625</v>
      </c>
      <c r="BO14" s="126">
        <f t="shared" si="24"/>
        <v>8000</v>
      </c>
      <c r="BP14" s="126">
        <f t="shared" si="25"/>
        <v>12800</v>
      </c>
      <c r="BQ14" s="126">
        <f t="shared" si="9"/>
        <v>2440000</v>
      </c>
      <c r="BR14" s="36">
        <f t="shared" si="26"/>
        <v>190.625</v>
      </c>
      <c r="BS14" s="126">
        <f t="shared" si="30"/>
        <v>8000</v>
      </c>
      <c r="BT14" s="126">
        <f t="shared" si="10"/>
        <v>12800</v>
      </c>
      <c r="BU14" s="126">
        <f t="shared" si="27"/>
        <v>2440000</v>
      </c>
      <c r="BV14" s="36">
        <f t="shared" si="28"/>
        <v>190.625</v>
      </c>
      <c r="BW14" s="126">
        <f t="shared" si="11"/>
        <v>8000</v>
      </c>
      <c r="BX14" s="126">
        <f t="shared" si="12"/>
        <v>12800</v>
      </c>
      <c r="BZ14" s="140"/>
      <c r="CA14" s="129">
        <v>1.6</v>
      </c>
      <c r="CB14" s="130">
        <v>0.06</v>
      </c>
      <c r="CC14" s="131">
        <f t="shared" si="31"/>
        <v>7000</v>
      </c>
      <c r="CD14" s="141"/>
      <c r="CE14" s="146"/>
      <c r="CF14" s="146"/>
      <c r="CG14" s="78" t="str">
        <f>"SV :       $"&amp;TEXT(CH14,"0.00")&amp;" M"</f>
        <v>SV :       $3.70 M</v>
      </c>
      <c r="CH14" s="147">
        <f>SUM(CH12:CH13)</f>
        <v>3.7</v>
      </c>
      <c r="CI14" s="79" t="str">
        <f>"SV :       $"&amp;TEXT(CJ14,"0.00")&amp;" M"</f>
        <v>SV :       $3.76 M</v>
      </c>
      <c r="CJ14" s="147">
        <f>SUM(CJ12:CJ13)</f>
        <v>3.7625000000000002</v>
      </c>
      <c r="CK14" s="79" t="str">
        <f>"SV :       $"&amp;TEXT(CL14,"0.00")&amp;" M"</f>
        <v>SV :       $3.80 M</v>
      </c>
      <c r="CL14" s="147">
        <f>SUM(CL12:CL13)</f>
        <v>3.8</v>
      </c>
      <c r="CM14" s="79" t="str">
        <f>"SV :       $"&amp;TEXT(CN14,"0.00")&amp;" M"</f>
        <v>SV :       $2.50 M</v>
      </c>
      <c r="CN14" s="147">
        <f>SUM(CN12:CN13)</f>
        <v>2.5</v>
      </c>
      <c r="CO14" s="79" t="str">
        <f>"SV :    $"&amp;TEXT(CP14,"0.00")&amp;" M"</f>
        <v>SV :    $13.76 M</v>
      </c>
      <c r="CP14" s="147">
        <f>SUM(CH14,CJ14,CL14,CN14)</f>
        <v>13.762499999999999</v>
      </c>
      <c r="CT14" s="88"/>
    </row>
    <row r="15" spans="2:98" ht="3" customHeight="1" x14ac:dyDescent="0.2">
      <c r="B15" s="221"/>
      <c r="C15" s="119"/>
      <c r="D15" s="119"/>
      <c r="E15" s="86"/>
      <c r="F15" s="300"/>
      <c r="G15" s="143"/>
      <c r="H15" s="144"/>
      <c r="I15" s="231"/>
      <c r="J15" s="87"/>
      <c r="K15" s="300"/>
      <c r="L15" s="143"/>
      <c r="M15" s="144"/>
      <c r="N15" s="231"/>
      <c r="O15" s="87"/>
      <c r="P15" s="300"/>
      <c r="Q15" s="143"/>
      <c r="R15" s="144"/>
      <c r="S15" s="231"/>
      <c r="T15" s="87"/>
      <c r="U15" s="300"/>
      <c r="V15" s="143"/>
      <c r="W15" s="144"/>
      <c r="X15" s="231"/>
      <c r="Y15" s="87"/>
      <c r="AC15" s="36">
        <v>1.7</v>
      </c>
      <c r="AD15" s="132">
        <v>1.1019999999999999</v>
      </c>
      <c r="AE15" s="132">
        <v>0.98199999999999998</v>
      </c>
      <c r="AF15" s="132">
        <v>1.1499999999999999</v>
      </c>
      <c r="AG15" s="132">
        <v>0.98319999999999996</v>
      </c>
      <c r="AH15" s="126">
        <f t="shared" si="1"/>
        <v>2356800</v>
      </c>
      <c r="AI15" s="36">
        <f t="shared" si="2"/>
        <v>82.649999999999991</v>
      </c>
      <c r="AJ15" s="126">
        <f t="shared" si="13"/>
        <v>16773.780292516283</v>
      </c>
      <c r="AK15" s="126">
        <f t="shared" si="14"/>
        <v>28515.42649727768</v>
      </c>
      <c r="AL15" s="126">
        <f t="shared" si="15"/>
        <v>2458000</v>
      </c>
      <c r="AM15" s="127">
        <f t="shared" si="15"/>
        <v>179.6875</v>
      </c>
      <c r="AN15" s="126">
        <f t="shared" si="3"/>
        <v>8046.6496163682859</v>
      </c>
      <c r="AO15" s="126">
        <f t="shared" si="3"/>
        <v>13679.304347826086</v>
      </c>
      <c r="AP15" s="126">
        <f t="shared" si="3"/>
        <v>2458000</v>
      </c>
      <c r="AQ15" s="127">
        <f t="shared" si="4"/>
        <v>179.6875</v>
      </c>
      <c r="AR15" s="126">
        <f t="shared" si="4"/>
        <v>8046.6496163682859</v>
      </c>
      <c r="AS15" s="126">
        <f t="shared" si="4"/>
        <v>13679.304347826086</v>
      </c>
      <c r="AT15" s="126">
        <f t="shared" si="4"/>
        <v>2458000</v>
      </c>
      <c r="AU15" s="127">
        <f t="shared" si="4"/>
        <v>179.6875</v>
      </c>
      <c r="AV15" s="126">
        <f t="shared" si="4"/>
        <v>8046.6496163682859</v>
      </c>
      <c r="AW15" s="126">
        <f t="shared" si="4"/>
        <v>13679.304347826086</v>
      </c>
      <c r="AY15" s="36">
        <v>1.7</v>
      </c>
      <c r="AZ15" s="126">
        <f t="shared" si="16"/>
        <v>2458000</v>
      </c>
      <c r="BA15" s="36">
        <f t="shared" si="17"/>
        <v>179.6875</v>
      </c>
      <c r="BB15" s="126">
        <f t="shared" si="18"/>
        <v>8046.6496163682859</v>
      </c>
      <c r="BC15" s="126">
        <f t="shared" si="5"/>
        <v>13679.304347826086</v>
      </c>
      <c r="BD15" s="126">
        <f t="shared" si="19"/>
        <v>2458000</v>
      </c>
      <c r="BE15" s="36">
        <f t="shared" si="20"/>
        <v>179.6875</v>
      </c>
      <c r="BF15" s="126">
        <f t="shared" si="6"/>
        <v>8046.6496163682859</v>
      </c>
      <c r="BG15" s="126">
        <f t="shared" si="0"/>
        <v>13679.304347826086</v>
      </c>
      <c r="BH15" s="126">
        <f t="shared" si="21"/>
        <v>2458000</v>
      </c>
      <c r="BI15" s="36">
        <f t="shared" si="22"/>
        <v>179.6875</v>
      </c>
      <c r="BJ15" s="126">
        <f t="shared" si="7"/>
        <v>8046.6496163682859</v>
      </c>
      <c r="BK15" s="126">
        <f t="shared" si="8"/>
        <v>13679.304347826086</v>
      </c>
      <c r="BM15" s="126">
        <f t="shared" si="29"/>
        <v>2458000</v>
      </c>
      <c r="BN15" s="36">
        <f t="shared" si="23"/>
        <v>180.73529411764707</v>
      </c>
      <c r="BO15" s="126">
        <f t="shared" si="24"/>
        <v>8000</v>
      </c>
      <c r="BP15" s="126">
        <f t="shared" si="25"/>
        <v>13600</v>
      </c>
      <c r="BQ15" s="126">
        <f t="shared" si="9"/>
        <v>2458000</v>
      </c>
      <c r="BR15" s="36">
        <f t="shared" si="26"/>
        <v>180.73529411764707</v>
      </c>
      <c r="BS15" s="126">
        <f t="shared" si="30"/>
        <v>8000</v>
      </c>
      <c r="BT15" s="126">
        <f t="shared" si="10"/>
        <v>13600</v>
      </c>
      <c r="BU15" s="126">
        <f t="shared" si="27"/>
        <v>2458000</v>
      </c>
      <c r="BV15" s="36">
        <f t="shared" si="28"/>
        <v>180.73529411764707</v>
      </c>
      <c r="BW15" s="126">
        <f t="shared" si="11"/>
        <v>8000</v>
      </c>
      <c r="BX15" s="126">
        <f t="shared" si="12"/>
        <v>13600</v>
      </c>
      <c r="BZ15" s="140"/>
      <c r="CA15" s="129">
        <v>1.7</v>
      </c>
      <c r="CB15" s="130">
        <v>7.0000000000000007E-2</v>
      </c>
      <c r="CC15" s="131">
        <f t="shared" si="31"/>
        <v>7500</v>
      </c>
      <c r="CD15" s="141"/>
      <c r="CE15" s="146"/>
      <c r="CF15" s="146"/>
      <c r="CG15" s="78" t="str">
        <f>"Stub Loss :  $"&amp;TEXT(CH15,"0,0")&amp;" K"</f>
        <v>Stub Loss :  $260 K</v>
      </c>
      <c r="CH15" s="150">
        <f>-CO6/1000</f>
        <v>260</v>
      </c>
      <c r="CI15" s="79" t="str">
        <f>"Stub Loss :  $"&amp;TEXT(CJ15,"0,0")&amp;" K"</f>
        <v>Stub Loss :  $144 K</v>
      </c>
      <c r="CJ15" s="150">
        <f>-CO7/1000</f>
        <v>144</v>
      </c>
      <c r="CK15" s="79" t="str">
        <f>"Stub Loss :  $"&amp;TEXT(CL15,"0,0")&amp;" K"</f>
        <v>Stub Loss :  $260 K</v>
      </c>
      <c r="CL15" s="150">
        <f>-CO8/1000</f>
        <v>260</v>
      </c>
      <c r="CM15" s="79" t="str">
        <f>"Stub Loss :  $"&amp;TEXT(CN15,"0,0")&amp;" K"</f>
        <v>Stub Loss :  $00 K</v>
      </c>
      <c r="CN15" s="150">
        <f>-CO9/1000</f>
        <v>0</v>
      </c>
      <c r="CO15" s="79" t="str">
        <f>"Stub Loss :  $"&amp;TEXT(CP15,"0,0")&amp;" K"</f>
        <v>Stub Loss :  $664 K</v>
      </c>
      <c r="CP15" s="151">
        <f>SUM(CH15,CJ15,CL15,CN15)</f>
        <v>664</v>
      </c>
      <c r="CT15" s="88"/>
    </row>
    <row r="16" spans="2:98" x14ac:dyDescent="0.2">
      <c r="B16" s="232"/>
      <c r="C16" s="233" t="s">
        <v>110</v>
      </c>
      <c r="D16" s="234"/>
      <c r="E16" s="234"/>
      <c r="F16" s="235"/>
      <c r="G16" s="234"/>
      <c r="H16" s="234"/>
      <c r="I16" s="236"/>
      <c r="J16" s="237"/>
      <c r="K16" s="238"/>
      <c r="L16" s="234"/>
      <c r="M16" s="234"/>
      <c r="N16" s="236"/>
      <c r="O16" s="239"/>
      <c r="P16" s="238"/>
      <c r="Q16" s="234"/>
      <c r="R16" s="234"/>
      <c r="S16" s="236"/>
      <c r="T16" s="237"/>
      <c r="U16" s="238"/>
      <c r="V16" s="234"/>
      <c r="W16" s="234"/>
      <c r="X16" s="236"/>
      <c r="Y16" s="237"/>
      <c r="AC16" s="36">
        <v>1.8</v>
      </c>
      <c r="AD16" s="132">
        <v>1.0679999999999998</v>
      </c>
      <c r="AE16" s="132">
        <v>0.98799999999999999</v>
      </c>
      <c r="AF16" s="132">
        <v>1.0999999999999999</v>
      </c>
      <c r="AG16" s="132">
        <v>0.99159999999999993</v>
      </c>
      <c r="AH16" s="126">
        <f t="shared" si="1"/>
        <v>2371200</v>
      </c>
      <c r="AI16" s="36">
        <f t="shared" si="2"/>
        <v>80.099999999999994</v>
      </c>
      <c r="AJ16" s="126">
        <f t="shared" si="13"/>
        <v>16446.109030378695</v>
      </c>
      <c r="AK16" s="126">
        <f t="shared" si="14"/>
        <v>29602.99625468165</v>
      </c>
      <c r="AL16" s="126">
        <f t="shared" si="15"/>
        <v>2479000</v>
      </c>
      <c r="AM16" s="127">
        <f t="shared" si="15"/>
        <v>171.87499999999997</v>
      </c>
      <c r="AN16" s="126">
        <f t="shared" si="3"/>
        <v>8012.9292929292942</v>
      </c>
      <c r="AO16" s="126">
        <f t="shared" si="3"/>
        <v>14423.27272727273</v>
      </c>
      <c r="AP16" s="126">
        <f t="shared" si="3"/>
        <v>2479000</v>
      </c>
      <c r="AQ16" s="127">
        <f t="shared" si="4"/>
        <v>171.87499999999997</v>
      </c>
      <c r="AR16" s="126">
        <f t="shared" si="4"/>
        <v>8012.9292929292942</v>
      </c>
      <c r="AS16" s="126">
        <f t="shared" si="4"/>
        <v>14423.27272727273</v>
      </c>
      <c r="AT16" s="126">
        <f t="shared" si="4"/>
        <v>2479000</v>
      </c>
      <c r="AU16" s="127">
        <f t="shared" si="4"/>
        <v>171.87499999999997</v>
      </c>
      <c r="AV16" s="126">
        <f t="shared" si="4"/>
        <v>8012.9292929292942</v>
      </c>
      <c r="AW16" s="126">
        <f t="shared" si="4"/>
        <v>14423.27272727273</v>
      </c>
      <c r="AY16" s="36">
        <v>1.8</v>
      </c>
      <c r="AZ16" s="126">
        <f t="shared" si="16"/>
        <v>2479000</v>
      </c>
      <c r="BA16" s="36">
        <f t="shared" si="17"/>
        <v>171.87499999999997</v>
      </c>
      <c r="BB16" s="126">
        <f t="shared" si="18"/>
        <v>8012.9292929292942</v>
      </c>
      <c r="BC16" s="126">
        <f t="shared" si="5"/>
        <v>14423.27272727273</v>
      </c>
      <c r="BD16" s="126">
        <f t="shared" si="19"/>
        <v>2479000</v>
      </c>
      <c r="BE16" s="36">
        <f t="shared" si="20"/>
        <v>171.87499999999997</v>
      </c>
      <c r="BF16" s="126">
        <f t="shared" si="6"/>
        <v>8012.9292929292942</v>
      </c>
      <c r="BG16" s="126">
        <f t="shared" si="0"/>
        <v>14423.27272727273</v>
      </c>
      <c r="BH16" s="126">
        <f t="shared" si="21"/>
        <v>2479000</v>
      </c>
      <c r="BI16" s="36">
        <f t="shared" si="22"/>
        <v>171.87499999999997</v>
      </c>
      <c r="BJ16" s="126">
        <f>BK16/$AC16</f>
        <v>8012.9292929292942</v>
      </c>
      <c r="BK16" s="126">
        <f t="shared" si="8"/>
        <v>14423.27272727273</v>
      </c>
      <c r="BM16" s="126">
        <f>$BM$18*AG16</f>
        <v>2479000</v>
      </c>
      <c r="BN16" s="36">
        <f>BM16/BP16</f>
        <v>172.15277777777777</v>
      </c>
      <c r="BO16" s="126">
        <f t="shared" si="24"/>
        <v>8000</v>
      </c>
      <c r="BP16" s="126">
        <f t="shared" si="25"/>
        <v>14400</v>
      </c>
      <c r="BQ16" s="126">
        <f t="shared" si="9"/>
        <v>2479000</v>
      </c>
      <c r="BR16" s="36">
        <f t="shared" si="26"/>
        <v>172.15277777777777</v>
      </c>
      <c r="BS16" s="126">
        <f t="shared" si="30"/>
        <v>8000</v>
      </c>
      <c r="BT16" s="126">
        <f t="shared" si="10"/>
        <v>14400</v>
      </c>
      <c r="BU16" s="126">
        <f t="shared" si="27"/>
        <v>2479000</v>
      </c>
      <c r="BV16" s="36">
        <f t="shared" si="28"/>
        <v>172.15277777777777</v>
      </c>
      <c r="BW16" s="126">
        <f t="shared" si="11"/>
        <v>8000</v>
      </c>
      <c r="BX16" s="126">
        <f t="shared" si="12"/>
        <v>14400</v>
      </c>
      <c r="BZ16" s="140"/>
      <c r="CA16" s="129">
        <v>1.8</v>
      </c>
      <c r="CB16" s="130">
        <v>0.08</v>
      </c>
      <c r="CC16" s="131">
        <f t="shared" si="31"/>
        <v>8000</v>
      </c>
      <c r="CD16" s="141"/>
      <c r="CE16" s="146"/>
      <c r="CF16" s="146"/>
      <c r="CG16" s="78" t="str">
        <f>"Stub Loss :  "&amp;TEXT(CH16,"0.0%")</f>
        <v>Stub Loss :  10.4%</v>
      </c>
      <c r="CH16" s="152">
        <f>IF(CP6="",0,CP6)</f>
        <v>0.104</v>
      </c>
      <c r="CI16" s="79" t="str">
        <f>"Stub Loss :  "&amp;TEXT(CJ16,"0.0%")</f>
        <v>Stub Loss :  5.8%</v>
      </c>
      <c r="CJ16" s="152">
        <f>IF(CP7="",0,CP7)</f>
        <v>5.7599999999999998E-2</v>
      </c>
      <c r="CK16" s="79" t="str">
        <f>"Stub Loss :  "&amp;TEXT(CL16,"0.0%")</f>
        <v>Stub Loss :  10.4%</v>
      </c>
      <c r="CL16" s="152">
        <f>IF(CP8="",0,CP8)</f>
        <v>0.104</v>
      </c>
      <c r="CM16" s="79" t="str">
        <f>"Stub Loss :  "&amp;TEXT(CN16,"0.0%")</f>
        <v>Stub Loss :  0.0%</v>
      </c>
      <c r="CN16" s="152">
        <f>IF(CP9="",0,CP9)</f>
        <v>0</v>
      </c>
      <c r="CO16" s="79" t="str">
        <f>"Stub Loss :  "&amp;TEXT(CP16,"0.0%")</f>
        <v>Stub Loss :  8.9%</v>
      </c>
      <c r="CP16" s="152">
        <f>CP10</f>
        <v>8.8533333333333339E-2</v>
      </c>
      <c r="CT16" s="88"/>
    </row>
    <row r="17" spans="2:98" ht="4.5" customHeight="1" x14ac:dyDescent="0.2">
      <c r="B17" s="311" t="s">
        <v>111</v>
      </c>
      <c r="C17" s="240"/>
      <c r="D17" s="82"/>
      <c r="E17" s="82"/>
      <c r="F17" s="220"/>
      <c r="G17" s="82"/>
      <c r="H17" s="82"/>
      <c r="I17" s="82"/>
      <c r="J17" s="83"/>
      <c r="K17" s="82"/>
      <c r="L17" s="82"/>
      <c r="M17" s="82"/>
      <c r="N17" s="82"/>
      <c r="O17" s="83"/>
      <c r="P17" s="82"/>
      <c r="Q17" s="82"/>
      <c r="R17" s="82"/>
      <c r="S17" s="82"/>
      <c r="T17" s="83"/>
      <c r="U17" s="82"/>
      <c r="V17" s="82"/>
      <c r="W17" s="82"/>
      <c r="X17" s="82"/>
      <c r="Y17" s="83"/>
      <c r="AC17" s="36">
        <v>1.9</v>
      </c>
      <c r="AD17" s="132">
        <v>1.0339999999999998</v>
      </c>
      <c r="AE17" s="132">
        <v>0.99399999999999999</v>
      </c>
      <c r="AF17" s="132">
        <v>1.0499999999999998</v>
      </c>
      <c r="AG17" s="132">
        <v>1.0011999999999999</v>
      </c>
      <c r="AH17" s="126">
        <f t="shared" si="1"/>
        <v>2385600</v>
      </c>
      <c r="AI17" s="36">
        <f t="shared" si="2"/>
        <v>77.549999999999983</v>
      </c>
      <c r="AJ17" s="126">
        <f t="shared" si="13"/>
        <v>16190.573144660495</v>
      </c>
      <c r="AK17" s="126">
        <f t="shared" si="14"/>
        <v>30762.088974854938</v>
      </c>
      <c r="AL17" s="126">
        <f t="shared" si="15"/>
        <v>2502999.9999999995</v>
      </c>
      <c r="AM17" s="127">
        <f t="shared" si="15"/>
        <v>164.06249999999997</v>
      </c>
      <c r="AN17" s="126">
        <f t="shared" si="3"/>
        <v>8029.6741854636593</v>
      </c>
      <c r="AO17" s="126">
        <f t="shared" si="3"/>
        <v>15256.380952380952</v>
      </c>
      <c r="AP17" s="126">
        <f t="shared" si="3"/>
        <v>2502999.9999999995</v>
      </c>
      <c r="AQ17" s="127">
        <f t="shared" si="4"/>
        <v>164.06249999999997</v>
      </c>
      <c r="AR17" s="126">
        <f t="shared" si="4"/>
        <v>8029.6741854636593</v>
      </c>
      <c r="AS17" s="126">
        <f t="shared" si="4"/>
        <v>15256.380952380952</v>
      </c>
      <c r="AT17" s="126">
        <f t="shared" si="4"/>
        <v>2502999.9999999995</v>
      </c>
      <c r="AU17" s="127">
        <f t="shared" si="4"/>
        <v>164.06249999999997</v>
      </c>
      <c r="AV17" s="126">
        <f t="shared" si="4"/>
        <v>8029.6741854636593</v>
      </c>
      <c r="AW17" s="126">
        <f t="shared" si="4"/>
        <v>15256.380952380952</v>
      </c>
      <c r="AY17" s="36">
        <v>1.9</v>
      </c>
      <c r="AZ17" s="126">
        <f t="shared" si="16"/>
        <v>2502999.9999999995</v>
      </c>
      <c r="BA17" s="36">
        <f t="shared" si="17"/>
        <v>164.06249999999997</v>
      </c>
      <c r="BB17" s="126">
        <f t="shared" si="18"/>
        <v>8029.6741854636593</v>
      </c>
      <c r="BC17" s="126">
        <f t="shared" si="5"/>
        <v>15256.380952380952</v>
      </c>
      <c r="BD17" s="126">
        <f t="shared" si="19"/>
        <v>2502999.9999999995</v>
      </c>
      <c r="BE17" s="36">
        <f t="shared" si="20"/>
        <v>164.06249999999997</v>
      </c>
      <c r="BF17" s="126">
        <f t="shared" si="6"/>
        <v>8029.6741854636593</v>
      </c>
      <c r="BG17" s="126">
        <f t="shared" si="0"/>
        <v>15256.380952380952</v>
      </c>
      <c r="BH17" s="126">
        <f t="shared" si="21"/>
        <v>2502999.9999999995</v>
      </c>
      <c r="BI17" s="36">
        <f t="shared" si="22"/>
        <v>164.06249999999997</v>
      </c>
      <c r="BJ17" s="126">
        <f t="shared" si="7"/>
        <v>8029.6741854636593</v>
      </c>
      <c r="BK17" s="126">
        <f t="shared" si="8"/>
        <v>15256.380952380952</v>
      </c>
      <c r="BM17" s="126">
        <f>$BM$18*AG17</f>
        <v>2502999.9999999995</v>
      </c>
      <c r="BN17" s="36">
        <f t="shared" si="23"/>
        <v>164.67105263157893</v>
      </c>
      <c r="BO17" s="126">
        <f>BO18</f>
        <v>8000</v>
      </c>
      <c r="BP17" s="126">
        <f t="shared" si="25"/>
        <v>15200</v>
      </c>
      <c r="BQ17" s="126">
        <f t="shared" si="9"/>
        <v>2502999.9999999995</v>
      </c>
      <c r="BR17" s="36">
        <f t="shared" si="26"/>
        <v>164.67105263157893</v>
      </c>
      <c r="BS17" s="126">
        <f>BS18</f>
        <v>8000</v>
      </c>
      <c r="BT17" s="126">
        <f t="shared" si="10"/>
        <v>15200</v>
      </c>
      <c r="BU17" s="126">
        <f t="shared" si="27"/>
        <v>2502999.9999999995</v>
      </c>
      <c r="BV17" s="36">
        <f t="shared" si="28"/>
        <v>164.67105263157893</v>
      </c>
      <c r="BW17" s="126">
        <f>BW18</f>
        <v>8000</v>
      </c>
      <c r="BX17" s="126">
        <f t="shared" si="12"/>
        <v>15200</v>
      </c>
      <c r="BZ17" s="140"/>
      <c r="CA17" s="129">
        <v>1.9</v>
      </c>
      <c r="CB17" s="130">
        <v>0.09</v>
      </c>
      <c r="CC17" s="131">
        <f t="shared" si="31"/>
        <v>8500</v>
      </c>
      <c r="CD17" s="141"/>
      <c r="CE17" s="146"/>
      <c r="CF17" s="146"/>
      <c r="CG17" s="78" t="str">
        <f>"PR ($/FH) :  "&amp;TEXT(CH17,"0.00")</f>
        <v>PR ($/FH) :  75.00</v>
      </c>
      <c r="CH17" s="154">
        <f>IF(CH12=0,0,ROUND(CL6,1))</f>
        <v>75</v>
      </c>
      <c r="CI17" s="79" t="str">
        <f>"PR ($/FH) :  "&amp;TEXT(CJ17,"0.00")</f>
        <v>PR ($/FH) :  160.20</v>
      </c>
      <c r="CJ17" s="154">
        <f>IF(CJ12=0,0,ROUND(CL7,1))</f>
        <v>160.19999999999999</v>
      </c>
      <c r="CK17" s="79" t="str">
        <f>"PR ($/FH) :  "&amp;TEXT(CL17,"0.00")</f>
        <v>PR ($/FH) :  156.30</v>
      </c>
      <c r="CL17" s="154">
        <f>IF(CL12=0,0,ROUND(CL8,1))</f>
        <v>156.30000000000001</v>
      </c>
      <c r="CM17" s="79" t="str">
        <f>"PR ($/FH) :  "&amp;TEXT(CN17,"0.00")</f>
        <v>PR ($/FH) :  156.30</v>
      </c>
      <c r="CN17" s="154">
        <f>IF(CN12=0,0,ROUND(CL9,1))</f>
        <v>156.30000000000001</v>
      </c>
      <c r="CO17" s="79" t="str">
        <f>"PR ($/FH) :  "&amp;TEXT(CP17,"0.00")</f>
        <v>PR ($/FH) :  124.50</v>
      </c>
      <c r="CP17" s="155">
        <f>IF(CL10=0,0,ROUND(CL10,1))</f>
        <v>124.5</v>
      </c>
      <c r="CT17" s="88"/>
    </row>
    <row r="18" spans="2:98" x14ac:dyDescent="0.2">
      <c r="B18" s="312"/>
      <c r="C18" s="229" t="str">
        <f>"  "&amp;CO12</f>
        <v xml:space="preserve">  PR :   $9.96 M</v>
      </c>
      <c r="D18" s="86"/>
      <c r="E18" s="86"/>
      <c r="F18" s="221"/>
      <c r="G18" s="86"/>
      <c r="H18" s="86"/>
      <c r="I18" s="86"/>
      <c r="J18" s="87"/>
      <c r="K18" s="86"/>
      <c r="L18" s="86"/>
      <c r="M18" s="86"/>
      <c r="N18" s="86"/>
      <c r="O18" s="87"/>
      <c r="P18" s="86"/>
      <c r="Q18" s="86"/>
      <c r="R18" s="86"/>
      <c r="S18" s="86"/>
      <c r="T18" s="87"/>
      <c r="U18" s="86"/>
      <c r="V18" s="86"/>
      <c r="W18" s="86"/>
      <c r="X18" s="86"/>
      <c r="Y18" s="87"/>
      <c r="AC18" s="158">
        <v>2</v>
      </c>
      <c r="AD18" s="159">
        <v>1</v>
      </c>
      <c r="AE18" s="159">
        <v>1</v>
      </c>
      <c r="AF18" s="159">
        <v>1</v>
      </c>
      <c r="AG18" s="159">
        <v>1</v>
      </c>
      <c r="AH18" s="160">
        <f>VLOOKUP(D8,SOURCE!B5:K36,6,FALSE)*AE18</f>
        <v>2400000</v>
      </c>
      <c r="AI18" s="158">
        <f>VLOOKUP(D8,SOURCE!B5:K36,7,FALSE)*AE18*$CF$8</f>
        <v>75</v>
      </c>
      <c r="AJ18" s="160">
        <f>AK18/AC18</f>
        <v>16000</v>
      </c>
      <c r="AK18" s="160">
        <f t="shared" si="14"/>
        <v>32000</v>
      </c>
      <c r="AL18" s="126">
        <f t="shared" si="15"/>
        <v>2500000</v>
      </c>
      <c r="AM18" s="127">
        <f t="shared" si="15"/>
        <v>156.25</v>
      </c>
      <c r="AN18" s="126">
        <f t="shared" si="3"/>
        <v>8000</v>
      </c>
      <c r="AO18" s="126">
        <f t="shared" si="3"/>
        <v>16000</v>
      </c>
      <c r="AP18" s="126">
        <f t="shared" si="3"/>
        <v>2500000</v>
      </c>
      <c r="AQ18" s="127">
        <f t="shared" si="4"/>
        <v>156.25</v>
      </c>
      <c r="AR18" s="126">
        <f t="shared" si="4"/>
        <v>8000</v>
      </c>
      <c r="AS18" s="126">
        <f t="shared" si="4"/>
        <v>16000</v>
      </c>
      <c r="AT18" s="126">
        <f t="shared" si="4"/>
        <v>2500000</v>
      </c>
      <c r="AU18" s="127">
        <f t="shared" si="4"/>
        <v>156.25</v>
      </c>
      <c r="AV18" s="126">
        <f t="shared" si="4"/>
        <v>8000</v>
      </c>
      <c r="AW18" s="126">
        <f t="shared" si="4"/>
        <v>16000</v>
      </c>
      <c r="AY18" s="161">
        <v>2</v>
      </c>
      <c r="AZ18" s="126">
        <f>VLOOKUP(D8,SOURCE!B5:K36,9,FALSE)*AG18</f>
        <v>2500000</v>
      </c>
      <c r="BA18" s="36">
        <f>AZ18/(I12*AC18)*CF8</f>
        <v>156.25</v>
      </c>
      <c r="BB18" s="126">
        <f>BC18/AC18</f>
        <v>8000</v>
      </c>
      <c r="BC18" s="126">
        <f>AZ18/BA18</f>
        <v>16000</v>
      </c>
      <c r="BD18" s="126">
        <f>VLOOKUP(D8,SOURCE!B5:K36,9,FALSE)*AG18</f>
        <v>2500000</v>
      </c>
      <c r="BE18" s="36">
        <f>BD18/(N12*AC18)*CF8</f>
        <v>156.25</v>
      </c>
      <c r="BF18" s="126">
        <f>BG18/$AC18</f>
        <v>8000</v>
      </c>
      <c r="BG18" s="126">
        <f>BD18/BE18</f>
        <v>16000</v>
      </c>
      <c r="BH18" s="126">
        <f>VLOOKUP(D8,SOURCE!B5:K36,9,FALSE)*AG18</f>
        <v>2500000</v>
      </c>
      <c r="BI18" s="36">
        <f>BH18/(S12*AC18)*CF8</f>
        <v>156.25</v>
      </c>
      <c r="BJ18" s="126">
        <f>BK18/$AC18</f>
        <v>8000</v>
      </c>
      <c r="BK18" s="126">
        <f>BH18/BI18</f>
        <v>16000</v>
      </c>
      <c r="BM18" s="126">
        <f>AZ18*$CF$8</f>
        <v>2500000</v>
      </c>
      <c r="BN18" s="36">
        <f>BM18/(I12*AC18)</f>
        <v>156.25</v>
      </c>
      <c r="BO18" s="126">
        <f>I12</f>
        <v>8000</v>
      </c>
      <c r="BP18" s="126">
        <f>BO18*$AC18</f>
        <v>16000</v>
      </c>
      <c r="BQ18" s="126">
        <f>BD18*$CF$8</f>
        <v>2500000</v>
      </c>
      <c r="BR18" s="36">
        <f>BQ18/(N12*AC18)</f>
        <v>156.25</v>
      </c>
      <c r="BS18" s="126">
        <f>N12</f>
        <v>8000</v>
      </c>
      <c r="BT18" s="126">
        <f>BS18*$AC18</f>
        <v>16000</v>
      </c>
      <c r="BU18" s="126">
        <f>BH18*$CF$8</f>
        <v>2500000</v>
      </c>
      <c r="BV18" s="36">
        <f>BU18/(S12*AC18)</f>
        <v>156.25</v>
      </c>
      <c r="BW18" s="126">
        <f>S12</f>
        <v>8000</v>
      </c>
      <c r="BX18" s="126">
        <f>BW18*$AC18</f>
        <v>16000</v>
      </c>
      <c r="BZ18" s="140"/>
      <c r="CA18" s="129">
        <v>2</v>
      </c>
      <c r="CB18" s="130">
        <v>0.1</v>
      </c>
      <c r="CC18" s="131">
        <f t="shared" si="31"/>
        <v>9000</v>
      </c>
      <c r="CD18" s="141"/>
      <c r="CE18" s="146"/>
      <c r="CF18" s="146"/>
      <c r="CT18" s="88"/>
    </row>
    <row r="19" spans="2:98" x14ac:dyDescent="0.2">
      <c r="B19" s="312"/>
      <c r="C19" s="229" t="str">
        <f>"  "&amp;CO13</f>
        <v xml:space="preserve">  LLP :  $3.80 M</v>
      </c>
      <c r="D19" s="86"/>
      <c r="E19" s="86"/>
      <c r="F19" s="221"/>
      <c r="G19" s="229"/>
      <c r="H19" s="241"/>
      <c r="I19" s="86"/>
      <c r="J19" s="87"/>
      <c r="K19" s="86"/>
      <c r="L19" s="86"/>
      <c r="M19" s="86"/>
      <c r="N19" s="86"/>
      <c r="O19" s="87"/>
      <c r="P19" s="86"/>
      <c r="Q19" s="86"/>
      <c r="R19" s="86"/>
      <c r="S19" s="86"/>
      <c r="T19" s="87"/>
      <c r="U19" s="86"/>
      <c r="V19" s="86"/>
      <c r="W19" s="86"/>
      <c r="X19" s="86"/>
      <c r="Y19" s="87"/>
      <c r="AC19" s="36">
        <v>2.1</v>
      </c>
      <c r="AD19" s="132">
        <v>0.98899999999999999</v>
      </c>
      <c r="AE19" s="132">
        <v>1.006</v>
      </c>
      <c r="AF19" s="132">
        <v>0.98899999999999999</v>
      </c>
      <c r="AG19" s="132">
        <v>1.006</v>
      </c>
      <c r="AH19" s="126">
        <f t="shared" ref="AH19:AH38" si="32">$AH$18*AE19</f>
        <v>2414400</v>
      </c>
      <c r="AI19" s="36">
        <f t="shared" ref="AI19:AI38" si="33">$AI$18*AD19</f>
        <v>74.174999999999997</v>
      </c>
      <c r="AJ19" s="126">
        <f t="shared" si="13"/>
        <v>15500.024074341567</v>
      </c>
      <c r="AK19" s="126">
        <f t="shared" si="14"/>
        <v>32550.05055611729</v>
      </c>
      <c r="AL19" s="126">
        <f t="shared" si="15"/>
        <v>2515000</v>
      </c>
      <c r="AM19" s="127">
        <f t="shared" si="15"/>
        <v>154.53125</v>
      </c>
      <c r="AN19" s="126">
        <f t="shared" si="3"/>
        <v>7750.0120371707835</v>
      </c>
      <c r="AO19" s="126">
        <f t="shared" si="3"/>
        <v>16275.025278058645</v>
      </c>
      <c r="AP19" s="126">
        <f t="shared" si="3"/>
        <v>2515000</v>
      </c>
      <c r="AQ19" s="127">
        <f t="shared" si="4"/>
        <v>154.53125</v>
      </c>
      <c r="AR19" s="126">
        <f t="shared" si="4"/>
        <v>7750.0120371707835</v>
      </c>
      <c r="AS19" s="126">
        <f t="shared" si="4"/>
        <v>16275.025278058645</v>
      </c>
      <c r="AT19" s="126">
        <f t="shared" si="4"/>
        <v>2515000</v>
      </c>
      <c r="AU19" s="127">
        <f t="shared" si="4"/>
        <v>154.53125</v>
      </c>
      <c r="AV19" s="126">
        <f t="shared" si="4"/>
        <v>7750.0120371707835</v>
      </c>
      <c r="AW19" s="126">
        <f t="shared" si="4"/>
        <v>16275.025278058645</v>
      </c>
      <c r="AY19" s="36">
        <v>2.1</v>
      </c>
      <c r="AZ19" s="126">
        <f>$AZ$18*$AG19</f>
        <v>2515000</v>
      </c>
      <c r="BA19" s="36">
        <f>$BA$18*$AF19</f>
        <v>154.53125</v>
      </c>
      <c r="BB19" s="126">
        <f>BC19/$AC19</f>
        <v>7750.0120371707835</v>
      </c>
      <c r="BC19" s="126">
        <f>AZ19/BA19</f>
        <v>16275.025278058645</v>
      </c>
      <c r="BD19" s="126">
        <f>$BD$18*$AG19</f>
        <v>2515000</v>
      </c>
      <c r="BE19" s="36">
        <f>$BE$18*$AF19</f>
        <v>154.53125</v>
      </c>
      <c r="BF19" s="126">
        <f t="shared" ref="BF19:BF38" si="34">BG19/$AC19</f>
        <v>7750.0120371707835</v>
      </c>
      <c r="BG19" s="126">
        <f t="shared" ref="BG19:BG38" si="35">BD19/BE19</f>
        <v>16275.025278058645</v>
      </c>
      <c r="BH19" s="126">
        <f>$BH$18*$AG19</f>
        <v>2515000</v>
      </c>
      <c r="BI19" s="36">
        <f>$BI$18*$AF19</f>
        <v>154.53125</v>
      </c>
      <c r="BJ19" s="126">
        <f t="shared" ref="BJ19:BJ38" si="36">BK19/$AC19</f>
        <v>7750.0120371707835</v>
      </c>
      <c r="BK19" s="126">
        <f t="shared" ref="BK19:BK38" si="37">BH19/BI19</f>
        <v>16275.025278058645</v>
      </c>
      <c r="BM19" s="126">
        <f>$BM$18*$AG19</f>
        <v>2515000</v>
      </c>
      <c r="BN19" s="36">
        <f>$BN$18*$AF19</f>
        <v>154.53125</v>
      </c>
      <c r="BO19" s="126">
        <f>BP19/$AC19</f>
        <v>7750.0120371707835</v>
      </c>
      <c r="BP19" s="126">
        <f>BM19/BN19</f>
        <v>16275.025278058645</v>
      </c>
      <c r="BQ19" s="126">
        <f>$BQ$18*$AG19</f>
        <v>2515000</v>
      </c>
      <c r="BR19" s="36">
        <f>$BR$18*$AF19</f>
        <v>154.53125</v>
      </c>
      <c r="BS19" s="126">
        <f>BT19/$AC19</f>
        <v>7750.0120371707835</v>
      </c>
      <c r="BT19" s="126">
        <f>BQ19/BR19</f>
        <v>16275.025278058645</v>
      </c>
      <c r="BU19" s="126">
        <f>$BU$18*$AG19</f>
        <v>2515000</v>
      </c>
      <c r="BV19" s="36">
        <f>$BV$18*$AF19</f>
        <v>154.53125</v>
      </c>
      <c r="BW19" s="126">
        <f>BX19/$AC19</f>
        <v>7750.0120371707835</v>
      </c>
      <c r="BX19" s="126">
        <f>BU19/BV19</f>
        <v>16275.025278058645</v>
      </c>
      <c r="BZ19" s="140"/>
      <c r="CA19" s="129">
        <v>2.1</v>
      </c>
      <c r="CB19" s="130">
        <v>0.11</v>
      </c>
      <c r="CC19" s="131">
        <f t="shared" si="31"/>
        <v>9500</v>
      </c>
      <c r="CD19" s="141"/>
      <c r="CE19" s="146"/>
      <c r="CF19" s="146"/>
      <c r="CT19" s="88"/>
    </row>
    <row r="20" spans="2:98" x14ac:dyDescent="0.2">
      <c r="B20" s="312"/>
      <c r="C20" s="242" t="str">
        <f>"  "&amp;CO14</f>
        <v xml:space="preserve">  SV :    $13.76 M</v>
      </c>
      <c r="D20" s="229"/>
      <c r="E20" s="229"/>
      <c r="F20" s="243"/>
      <c r="G20" s="242" t="str">
        <f>CG14</f>
        <v>SV :       $3.70 M</v>
      </c>
      <c r="H20" s="229"/>
      <c r="I20" s="229"/>
      <c r="J20" s="122"/>
      <c r="K20" s="229"/>
      <c r="L20" s="242" t="str">
        <f>CI14</f>
        <v>SV :       $3.76 M</v>
      </c>
      <c r="M20" s="229"/>
      <c r="N20" s="229"/>
      <c r="O20" s="122"/>
      <c r="P20" s="229"/>
      <c r="Q20" s="242" t="str">
        <f>CK14</f>
        <v>SV :       $3.80 M</v>
      </c>
      <c r="R20" s="229"/>
      <c r="S20" s="229"/>
      <c r="T20" s="122"/>
      <c r="U20" s="229"/>
      <c r="V20" s="242" t="str">
        <f>CM14</f>
        <v>SV :       $2.50 M</v>
      </c>
      <c r="W20" s="229"/>
      <c r="X20" s="229"/>
      <c r="Y20" s="122"/>
      <c r="AC20" s="36">
        <v>2.2000000000000002</v>
      </c>
      <c r="AD20" s="132">
        <v>0.97799999999999998</v>
      </c>
      <c r="AE20" s="132">
        <v>1.012</v>
      </c>
      <c r="AF20" s="132">
        <v>0.97799999999999998</v>
      </c>
      <c r="AG20" s="132">
        <v>1.012</v>
      </c>
      <c r="AH20" s="126">
        <f t="shared" si="32"/>
        <v>2428800</v>
      </c>
      <c r="AI20" s="36">
        <f t="shared" si="33"/>
        <v>73.349999999999994</v>
      </c>
      <c r="AJ20" s="126">
        <f t="shared" si="13"/>
        <v>15051.12474437628</v>
      </c>
      <c r="AK20" s="126">
        <f t="shared" si="14"/>
        <v>33112.474437627818</v>
      </c>
      <c r="AL20" s="126">
        <f t="shared" si="15"/>
        <v>2530000</v>
      </c>
      <c r="AM20" s="127">
        <f t="shared" si="15"/>
        <v>152.8125</v>
      </c>
      <c r="AN20" s="126">
        <f t="shared" si="3"/>
        <v>7525.5623721881384</v>
      </c>
      <c r="AO20" s="126">
        <f t="shared" si="3"/>
        <v>16556.237218813905</v>
      </c>
      <c r="AP20" s="126">
        <f t="shared" si="3"/>
        <v>2530000</v>
      </c>
      <c r="AQ20" s="127">
        <f t="shared" si="4"/>
        <v>152.8125</v>
      </c>
      <c r="AR20" s="126">
        <f t="shared" si="4"/>
        <v>7525.5623721881384</v>
      </c>
      <c r="AS20" s="126">
        <f t="shared" si="4"/>
        <v>16556.237218813905</v>
      </c>
      <c r="AT20" s="126">
        <f t="shared" si="4"/>
        <v>2530000</v>
      </c>
      <c r="AU20" s="127">
        <f t="shared" si="4"/>
        <v>152.8125</v>
      </c>
      <c r="AV20" s="126">
        <f t="shared" si="4"/>
        <v>7525.5623721881384</v>
      </c>
      <c r="AW20" s="126">
        <f t="shared" si="4"/>
        <v>16556.237218813905</v>
      </c>
      <c r="AY20" s="36">
        <v>2.2000000000000002</v>
      </c>
      <c r="AZ20" s="126">
        <f t="shared" ref="AZ20:AZ38" si="38">$AZ$18*$AG20</f>
        <v>2530000</v>
      </c>
      <c r="BA20" s="36">
        <f t="shared" ref="BA20:BA38" si="39">$BA$18*$AF20</f>
        <v>152.8125</v>
      </c>
      <c r="BB20" s="126">
        <f t="shared" ref="BB20:BB38" si="40">BC20/$AC20</f>
        <v>7525.5623721881384</v>
      </c>
      <c r="BC20" s="126">
        <f t="shared" ref="BC20:BC38" si="41">AZ20/BA20</f>
        <v>16556.237218813905</v>
      </c>
      <c r="BD20" s="126">
        <f t="shared" ref="BD20:BD38" si="42">$BD$18*$AG20</f>
        <v>2530000</v>
      </c>
      <c r="BE20" s="36">
        <f t="shared" ref="BE20:BE38" si="43">$BE$18*$AF20</f>
        <v>152.8125</v>
      </c>
      <c r="BF20" s="126">
        <f t="shared" si="34"/>
        <v>7525.5623721881384</v>
      </c>
      <c r="BG20" s="126">
        <f t="shared" si="35"/>
        <v>16556.237218813905</v>
      </c>
      <c r="BH20" s="126">
        <f t="shared" ref="BH20:BH38" si="44">$BH$18*$AG20</f>
        <v>2530000</v>
      </c>
      <c r="BI20" s="36">
        <f t="shared" ref="BI20:BI38" si="45">$BI$18*$AF20</f>
        <v>152.8125</v>
      </c>
      <c r="BJ20" s="126">
        <f t="shared" si="36"/>
        <v>7525.5623721881384</v>
      </c>
      <c r="BK20" s="126">
        <f t="shared" si="37"/>
        <v>16556.237218813905</v>
      </c>
      <c r="BM20" s="126">
        <f t="shared" ref="BM20:BM38" si="46">$BM$18*AG20</f>
        <v>2530000</v>
      </c>
      <c r="BN20" s="36">
        <f t="shared" ref="BN20:BN38" si="47">$BN$18*AF20</f>
        <v>152.8125</v>
      </c>
      <c r="BO20" s="126">
        <f t="shared" ref="BO20:BO38" si="48">BP20/AC20</f>
        <v>7525.5623721881384</v>
      </c>
      <c r="BP20" s="126">
        <f t="shared" ref="BP20:BP38" si="49">BM20/BN20</f>
        <v>16556.237218813905</v>
      </c>
      <c r="BQ20" s="126">
        <f t="shared" ref="BQ20:BQ38" si="50">$BQ$18*$AG20</f>
        <v>2530000</v>
      </c>
      <c r="BR20" s="36">
        <f t="shared" ref="BR20:BR38" si="51">$BR$18*$AF20</f>
        <v>152.8125</v>
      </c>
      <c r="BS20" s="126">
        <f t="shared" ref="BS20:BS38" si="52">BT20/$AC20</f>
        <v>7525.5623721881384</v>
      </c>
      <c r="BT20" s="126">
        <f t="shared" ref="BT20:BT38" si="53">BQ20/BR20</f>
        <v>16556.237218813905</v>
      </c>
      <c r="BU20" s="126">
        <f t="shared" ref="BU20:BU38" si="54">$BU$18*$AG20</f>
        <v>2530000</v>
      </c>
      <c r="BV20" s="36">
        <f t="shared" ref="BV20:BV38" si="55">$BV$18*$AF20</f>
        <v>152.8125</v>
      </c>
      <c r="BW20" s="126">
        <f t="shared" ref="BW20:BW38" si="56">BX20/$AC20</f>
        <v>7525.5623721881384</v>
      </c>
      <c r="BX20" s="126">
        <f t="shared" ref="BX20:BX38" si="57">BU20/BV20</f>
        <v>16556.237218813905</v>
      </c>
      <c r="BZ20" s="140"/>
      <c r="CA20" s="129">
        <v>2.2000000000000002</v>
      </c>
      <c r="CB20" s="130">
        <v>0.12</v>
      </c>
      <c r="CC20" s="131">
        <f t="shared" si="31"/>
        <v>10000</v>
      </c>
      <c r="CD20" s="141"/>
      <c r="CE20" s="146"/>
      <c r="CF20" s="146"/>
      <c r="CG20" s="77"/>
      <c r="CH20" s="77"/>
      <c r="CI20" s="77"/>
      <c r="CJ20" s="77"/>
      <c r="CK20" s="77"/>
      <c r="CL20" s="77"/>
      <c r="CM20" s="77"/>
      <c r="CN20" s="77"/>
      <c r="CO20" s="77"/>
      <c r="CP20" s="77"/>
      <c r="CQ20" s="77"/>
      <c r="CR20" s="77"/>
      <c r="CS20" s="77"/>
    </row>
    <row r="21" spans="2:98" x14ac:dyDescent="0.2">
      <c r="B21" s="312"/>
      <c r="C21" s="229" t="str">
        <f>"  "&amp;CO17</f>
        <v xml:space="preserve">  PR ($/FH) :  124.50</v>
      </c>
      <c r="D21" s="86"/>
      <c r="E21" s="86"/>
      <c r="F21" s="221"/>
      <c r="G21" s="229" t="str">
        <f>CG17</f>
        <v>PR ($/FH) :  75.00</v>
      </c>
      <c r="H21" s="229"/>
      <c r="I21" s="229"/>
      <c r="J21" s="122"/>
      <c r="K21" s="229"/>
      <c r="L21" s="229" t="str">
        <f>CI17</f>
        <v>PR ($/FH) :  160.20</v>
      </c>
      <c r="M21" s="229"/>
      <c r="N21" s="229"/>
      <c r="O21" s="122"/>
      <c r="P21" s="229"/>
      <c r="Q21" s="229" t="str">
        <f>CK17</f>
        <v>PR ($/FH) :  156.30</v>
      </c>
      <c r="R21" s="229"/>
      <c r="S21" s="229"/>
      <c r="T21" s="122"/>
      <c r="U21" s="229"/>
      <c r="V21" s="229" t="str">
        <f>CM17</f>
        <v>PR ($/FH) :  156.30</v>
      </c>
      <c r="W21" s="229"/>
      <c r="X21" s="86"/>
      <c r="Y21" s="87"/>
      <c r="AC21" s="36">
        <v>2.2999999999999998</v>
      </c>
      <c r="AD21" s="132">
        <v>0.96699999999999997</v>
      </c>
      <c r="AE21" s="132">
        <v>1.018</v>
      </c>
      <c r="AF21" s="132">
        <v>0.96699999999999997</v>
      </c>
      <c r="AG21" s="132">
        <v>1.018</v>
      </c>
      <c r="AH21" s="126">
        <f t="shared" si="32"/>
        <v>2443200</v>
      </c>
      <c r="AI21" s="36">
        <f t="shared" si="33"/>
        <v>72.524999999999991</v>
      </c>
      <c r="AJ21" s="126">
        <f t="shared" si="13"/>
        <v>14646.823434198106</v>
      </c>
      <c r="AK21" s="126">
        <f t="shared" si="14"/>
        <v>33687.693898655642</v>
      </c>
      <c r="AL21" s="126">
        <f t="shared" si="15"/>
        <v>2545000</v>
      </c>
      <c r="AM21" s="127">
        <f t="shared" si="15"/>
        <v>151.09375</v>
      </c>
      <c r="AN21" s="126">
        <f t="shared" si="3"/>
        <v>7323.4117170990512</v>
      </c>
      <c r="AO21" s="126">
        <f t="shared" si="3"/>
        <v>16843.846949327817</v>
      </c>
      <c r="AP21" s="126">
        <f t="shared" si="3"/>
        <v>2545000</v>
      </c>
      <c r="AQ21" s="127">
        <f t="shared" si="4"/>
        <v>151.09375</v>
      </c>
      <c r="AR21" s="126">
        <f t="shared" si="4"/>
        <v>7323.4117170990512</v>
      </c>
      <c r="AS21" s="126">
        <f t="shared" si="4"/>
        <v>16843.846949327817</v>
      </c>
      <c r="AT21" s="126">
        <f t="shared" si="4"/>
        <v>2545000</v>
      </c>
      <c r="AU21" s="127">
        <f t="shared" si="4"/>
        <v>151.09375</v>
      </c>
      <c r="AV21" s="126">
        <f t="shared" si="4"/>
        <v>7323.4117170990512</v>
      </c>
      <c r="AW21" s="126">
        <f t="shared" si="4"/>
        <v>16843.846949327817</v>
      </c>
      <c r="AY21" s="36">
        <v>2.2999999999999998</v>
      </c>
      <c r="AZ21" s="126">
        <f t="shared" si="38"/>
        <v>2545000</v>
      </c>
      <c r="BA21" s="36">
        <f t="shared" si="39"/>
        <v>151.09375</v>
      </c>
      <c r="BB21" s="126">
        <f t="shared" si="40"/>
        <v>7323.4117170990512</v>
      </c>
      <c r="BC21" s="126">
        <f t="shared" si="41"/>
        <v>16843.846949327817</v>
      </c>
      <c r="BD21" s="126">
        <f t="shared" si="42"/>
        <v>2545000</v>
      </c>
      <c r="BE21" s="36">
        <f t="shared" si="43"/>
        <v>151.09375</v>
      </c>
      <c r="BF21" s="126">
        <f t="shared" si="34"/>
        <v>7323.4117170990512</v>
      </c>
      <c r="BG21" s="126">
        <f t="shared" si="35"/>
        <v>16843.846949327817</v>
      </c>
      <c r="BH21" s="126">
        <f t="shared" si="44"/>
        <v>2545000</v>
      </c>
      <c r="BI21" s="36">
        <f t="shared" si="45"/>
        <v>151.09375</v>
      </c>
      <c r="BJ21" s="126">
        <f t="shared" si="36"/>
        <v>7323.4117170990512</v>
      </c>
      <c r="BK21" s="126">
        <f t="shared" si="37"/>
        <v>16843.846949327817</v>
      </c>
      <c r="BM21" s="126">
        <f t="shared" si="46"/>
        <v>2545000</v>
      </c>
      <c r="BN21" s="36">
        <f t="shared" si="47"/>
        <v>151.09375</v>
      </c>
      <c r="BO21" s="126">
        <f t="shared" si="48"/>
        <v>7323.4117170990512</v>
      </c>
      <c r="BP21" s="126">
        <f t="shared" si="49"/>
        <v>16843.846949327817</v>
      </c>
      <c r="BQ21" s="126">
        <f t="shared" si="50"/>
        <v>2545000</v>
      </c>
      <c r="BR21" s="36">
        <f t="shared" si="51"/>
        <v>151.09375</v>
      </c>
      <c r="BS21" s="126">
        <f t="shared" si="52"/>
        <v>7323.4117170990512</v>
      </c>
      <c r="BT21" s="126">
        <f t="shared" si="53"/>
        <v>16843.846949327817</v>
      </c>
      <c r="BU21" s="126">
        <f t="shared" si="54"/>
        <v>2545000</v>
      </c>
      <c r="BV21" s="36">
        <f t="shared" si="55"/>
        <v>151.09375</v>
      </c>
      <c r="BW21" s="126">
        <f t="shared" si="56"/>
        <v>7323.4117170990512</v>
      </c>
      <c r="BX21" s="126">
        <f t="shared" si="57"/>
        <v>16843.846949327817</v>
      </c>
      <c r="BZ21" s="140"/>
      <c r="CA21" s="129">
        <v>2.2999999999999998</v>
      </c>
      <c r="CB21" s="130">
        <v>0.13</v>
      </c>
      <c r="CC21" s="131"/>
      <c r="CD21" s="141"/>
      <c r="CE21" s="146"/>
      <c r="CF21" s="146"/>
      <c r="CG21" s="77"/>
      <c r="CH21" s="77"/>
      <c r="CI21" s="77"/>
      <c r="CJ21" s="77"/>
      <c r="CK21" s="77"/>
      <c r="CL21" s="77"/>
      <c r="CM21" s="77"/>
      <c r="CN21" s="77"/>
      <c r="CO21" s="77"/>
      <c r="CP21" s="77"/>
      <c r="CQ21" s="77"/>
      <c r="CR21" s="77"/>
      <c r="CS21" s="77"/>
    </row>
    <row r="22" spans="2:98" x14ac:dyDescent="0.2">
      <c r="B22" s="312"/>
      <c r="C22" s="229" t="str">
        <f>"  "&amp;CO16</f>
        <v xml:space="preserve">  Stub Loss :  8.9%</v>
      </c>
      <c r="D22" s="86"/>
      <c r="E22" s="86"/>
      <c r="F22" s="221"/>
      <c r="G22" s="244" t="str">
        <f>CG16</f>
        <v>Stub Loss :  10.4%</v>
      </c>
      <c r="H22" s="229"/>
      <c r="I22" s="229"/>
      <c r="J22" s="122"/>
      <c r="K22" s="229"/>
      <c r="L22" s="229" t="str">
        <f>CI16</f>
        <v>Stub Loss :  5.8%</v>
      </c>
      <c r="M22" s="229"/>
      <c r="N22" s="229"/>
      <c r="O22" s="122"/>
      <c r="P22" s="229"/>
      <c r="Q22" s="229" t="str">
        <f>CK16</f>
        <v>Stub Loss :  10.4%</v>
      </c>
      <c r="R22" s="229"/>
      <c r="S22" s="229"/>
      <c r="T22" s="122"/>
      <c r="U22" s="229"/>
      <c r="V22" s="229" t="str">
        <f>CM16</f>
        <v>Stub Loss :  0.0%</v>
      </c>
      <c r="W22" s="229"/>
      <c r="X22" s="86"/>
      <c r="Y22" s="87"/>
      <c r="AC22" s="36">
        <v>2.4</v>
      </c>
      <c r="AD22" s="132">
        <v>0.95599999999999996</v>
      </c>
      <c r="AE22" s="132">
        <v>1.024</v>
      </c>
      <c r="AF22" s="132">
        <v>0.95599999999999996</v>
      </c>
      <c r="AG22" s="132">
        <v>1.024</v>
      </c>
      <c r="AH22" s="126">
        <f t="shared" si="32"/>
        <v>2457600</v>
      </c>
      <c r="AI22" s="36">
        <f t="shared" si="33"/>
        <v>71.7</v>
      </c>
      <c r="AJ22" s="126">
        <f t="shared" si="13"/>
        <v>14281.729428172943</v>
      </c>
      <c r="AK22" s="126">
        <f t="shared" si="14"/>
        <v>34276.150627615061</v>
      </c>
      <c r="AL22" s="126">
        <f t="shared" si="15"/>
        <v>2560000</v>
      </c>
      <c r="AM22" s="127">
        <f t="shared" si="15"/>
        <v>149.375</v>
      </c>
      <c r="AN22" s="126">
        <f t="shared" si="3"/>
        <v>7140.8647140864714</v>
      </c>
      <c r="AO22" s="126">
        <f t="shared" si="3"/>
        <v>17138.075313807531</v>
      </c>
      <c r="AP22" s="126">
        <f t="shared" si="3"/>
        <v>2560000</v>
      </c>
      <c r="AQ22" s="127">
        <f t="shared" si="4"/>
        <v>149.375</v>
      </c>
      <c r="AR22" s="126">
        <f t="shared" si="4"/>
        <v>7140.8647140864714</v>
      </c>
      <c r="AS22" s="126">
        <f t="shared" si="4"/>
        <v>17138.075313807531</v>
      </c>
      <c r="AT22" s="126">
        <f t="shared" si="4"/>
        <v>2560000</v>
      </c>
      <c r="AU22" s="127">
        <f t="shared" si="4"/>
        <v>149.375</v>
      </c>
      <c r="AV22" s="126">
        <f t="shared" si="4"/>
        <v>7140.8647140864714</v>
      </c>
      <c r="AW22" s="126">
        <f t="shared" si="4"/>
        <v>17138.075313807531</v>
      </c>
      <c r="AY22" s="36">
        <v>2.4</v>
      </c>
      <c r="AZ22" s="126">
        <f t="shared" si="38"/>
        <v>2560000</v>
      </c>
      <c r="BA22" s="36">
        <f t="shared" si="39"/>
        <v>149.375</v>
      </c>
      <c r="BB22" s="126">
        <f t="shared" si="40"/>
        <v>7140.8647140864714</v>
      </c>
      <c r="BC22" s="126">
        <f t="shared" si="41"/>
        <v>17138.075313807531</v>
      </c>
      <c r="BD22" s="126">
        <f t="shared" si="42"/>
        <v>2560000</v>
      </c>
      <c r="BE22" s="36">
        <f t="shared" si="43"/>
        <v>149.375</v>
      </c>
      <c r="BF22" s="126">
        <f t="shared" si="34"/>
        <v>7140.8647140864714</v>
      </c>
      <c r="BG22" s="126">
        <f t="shared" si="35"/>
        <v>17138.075313807531</v>
      </c>
      <c r="BH22" s="126">
        <f t="shared" si="44"/>
        <v>2560000</v>
      </c>
      <c r="BI22" s="36">
        <f t="shared" si="45"/>
        <v>149.375</v>
      </c>
      <c r="BJ22" s="126">
        <f t="shared" si="36"/>
        <v>7140.8647140864714</v>
      </c>
      <c r="BK22" s="126">
        <f t="shared" si="37"/>
        <v>17138.075313807531</v>
      </c>
      <c r="BM22" s="126">
        <f t="shared" si="46"/>
        <v>2560000</v>
      </c>
      <c r="BN22" s="36">
        <f t="shared" si="47"/>
        <v>149.375</v>
      </c>
      <c r="BO22" s="126">
        <f t="shared" si="48"/>
        <v>7140.8647140864714</v>
      </c>
      <c r="BP22" s="126">
        <f t="shared" si="49"/>
        <v>17138.075313807531</v>
      </c>
      <c r="BQ22" s="126">
        <f t="shared" si="50"/>
        <v>2560000</v>
      </c>
      <c r="BR22" s="36">
        <f t="shared" si="51"/>
        <v>149.375</v>
      </c>
      <c r="BS22" s="126">
        <f t="shared" si="52"/>
        <v>7140.8647140864714</v>
      </c>
      <c r="BT22" s="126">
        <f t="shared" si="53"/>
        <v>17138.075313807531</v>
      </c>
      <c r="BU22" s="126">
        <f t="shared" si="54"/>
        <v>2560000</v>
      </c>
      <c r="BV22" s="36">
        <f t="shared" si="55"/>
        <v>149.375</v>
      </c>
      <c r="BW22" s="126">
        <f t="shared" si="56"/>
        <v>7140.8647140864714</v>
      </c>
      <c r="BX22" s="126">
        <f t="shared" si="57"/>
        <v>17138.075313807531</v>
      </c>
      <c r="BZ22" s="140"/>
      <c r="CA22" s="129">
        <v>2.4</v>
      </c>
      <c r="CB22" s="130">
        <v>0.14000000000000001</v>
      </c>
      <c r="CC22" s="131"/>
      <c r="CD22" s="141"/>
      <c r="CE22" s="146"/>
      <c r="CF22" s="146"/>
      <c r="CG22" s="77"/>
      <c r="CH22" s="77"/>
      <c r="CI22" s="77"/>
      <c r="CJ22" s="77"/>
      <c r="CK22" s="77"/>
      <c r="CL22" s="77"/>
      <c r="CM22" s="77"/>
      <c r="CN22" s="77"/>
      <c r="CO22" s="77"/>
      <c r="CP22" s="77"/>
      <c r="CQ22" s="77"/>
      <c r="CR22" s="77"/>
      <c r="CS22" s="77"/>
    </row>
    <row r="23" spans="2:98" ht="1.5" customHeight="1" x14ac:dyDescent="0.2">
      <c r="B23" s="312"/>
      <c r="C23" s="86"/>
      <c r="D23" s="86"/>
      <c r="E23" s="86"/>
      <c r="F23" s="221"/>
      <c r="G23" s="86"/>
      <c r="H23" s="229"/>
      <c r="I23" s="229"/>
      <c r="J23" s="122"/>
      <c r="K23" s="229"/>
      <c r="L23" s="86"/>
      <c r="M23" s="229"/>
      <c r="N23" s="229"/>
      <c r="O23" s="122"/>
      <c r="P23" s="229"/>
      <c r="Q23" s="86"/>
      <c r="R23" s="229"/>
      <c r="S23" s="229"/>
      <c r="T23" s="122"/>
      <c r="U23" s="229"/>
      <c r="V23" s="86"/>
      <c r="W23" s="229"/>
      <c r="X23" s="86"/>
      <c r="Y23" s="87"/>
      <c r="AC23" s="54">
        <v>2.5</v>
      </c>
      <c r="AD23" s="124">
        <v>0.94499999999999995</v>
      </c>
      <c r="AE23" s="124">
        <v>1.03</v>
      </c>
      <c r="AF23" s="124">
        <v>0.94499999999999995</v>
      </c>
      <c r="AG23" s="124">
        <v>1.03</v>
      </c>
      <c r="AH23" s="125">
        <f t="shared" si="32"/>
        <v>2472000</v>
      </c>
      <c r="AI23" s="54">
        <f t="shared" si="33"/>
        <v>70.875</v>
      </c>
      <c r="AJ23" s="125">
        <f t="shared" si="13"/>
        <v>13951.322751322752</v>
      </c>
      <c r="AK23" s="125">
        <f t="shared" si="14"/>
        <v>34878.306878306881</v>
      </c>
      <c r="AL23" s="126">
        <f t="shared" si="15"/>
        <v>2575000</v>
      </c>
      <c r="AM23" s="127">
        <f t="shared" si="15"/>
        <v>147.65625</v>
      </c>
      <c r="AN23" s="126">
        <f t="shared" si="3"/>
        <v>6975.661375661376</v>
      </c>
      <c r="AO23" s="126">
        <f t="shared" si="3"/>
        <v>17439.153439153441</v>
      </c>
      <c r="AP23" s="126">
        <f t="shared" si="3"/>
        <v>2575000</v>
      </c>
      <c r="AQ23" s="127">
        <f t="shared" si="4"/>
        <v>147.65625</v>
      </c>
      <c r="AR23" s="126">
        <f t="shared" si="4"/>
        <v>6975.661375661376</v>
      </c>
      <c r="AS23" s="126">
        <f t="shared" si="4"/>
        <v>17439.153439153441</v>
      </c>
      <c r="AT23" s="126">
        <f t="shared" si="4"/>
        <v>2575000</v>
      </c>
      <c r="AU23" s="127">
        <f t="shared" si="4"/>
        <v>147.65625</v>
      </c>
      <c r="AV23" s="126">
        <f t="shared" si="4"/>
        <v>6975.661375661376</v>
      </c>
      <c r="AW23" s="126">
        <f t="shared" si="4"/>
        <v>17439.153439153441</v>
      </c>
      <c r="AY23" s="36">
        <v>2.5</v>
      </c>
      <c r="AZ23" s="126">
        <f t="shared" si="38"/>
        <v>2575000</v>
      </c>
      <c r="BA23" s="36">
        <f t="shared" si="39"/>
        <v>147.65625</v>
      </c>
      <c r="BB23" s="126">
        <f t="shared" si="40"/>
        <v>6975.661375661376</v>
      </c>
      <c r="BC23" s="126">
        <f t="shared" si="41"/>
        <v>17439.153439153441</v>
      </c>
      <c r="BD23" s="126">
        <f t="shared" si="42"/>
        <v>2575000</v>
      </c>
      <c r="BE23" s="36">
        <f t="shared" si="43"/>
        <v>147.65625</v>
      </c>
      <c r="BF23" s="126">
        <f t="shared" si="34"/>
        <v>6975.661375661376</v>
      </c>
      <c r="BG23" s="126">
        <f t="shared" si="35"/>
        <v>17439.153439153441</v>
      </c>
      <c r="BH23" s="126">
        <f t="shared" si="44"/>
        <v>2575000</v>
      </c>
      <c r="BI23" s="36">
        <f t="shared" si="45"/>
        <v>147.65625</v>
      </c>
      <c r="BJ23" s="126">
        <f t="shared" si="36"/>
        <v>6975.661375661376</v>
      </c>
      <c r="BK23" s="126">
        <f t="shared" si="37"/>
        <v>17439.153439153441</v>
      </c>
      <c r="BM23" s="126">
        <f t="shared" si="46"/>
        <v>2575000</v>
      </c>
      <c r="BN23" s="36">
        <f t="shared" si="47"/>
        <v>147.65625</v>
      </c>
      <c r="BO23" s="126">
        <f t="shared" si="48"/>
        <v>6975.661375661376</v>
      </c>
      <c r="BP23" s="126">
        <f t="shared" si="49"/>
        <v>17439.153439153441</v>
      </c>
      <c r="BQ23" s="126">
        <f t="shared" si="50"/>
        <v>2575000</v>
      </c>
      <c r="BR23" s="36">
        <f t="shared" si="51"/>
        <v>147.65625</v>
      </c>
      <c r="BS23" s="126">
        <f t="shared" si="52"/>
        <v>6975.661375661376</v>
      </c>
      <c r="BT23" s="126">
        <f t="shared" si="53"/>
        <v>17439.153439153441</v>
      </c>
      <c r="BU23" s="126">
        <f t="shared" si="54"/>
        <v>2575000</v>
      </c>
      <c r="BV23" s="36">
        <f t="shared" si="55"/>
        <v>147.65625</v>
      </c>
      <c r="BW23" s="126">
        <f t="shared" si="56"/>
        <v>6975.661375661376</v>
      </c>
      <c r="BX23" s="126">
        <f t="shared" si="57"/>
        <v>17439.153439153441</v>
      </c>
      <c r="BZ23" s="140"/>
      <c r="CA23" s="129">
        <v>2.5</v>
      </c>
      <c r="CB23" s="130">
        <v>0.15</v>
      </c>
      <c r="CC23" s="130"/>
      <c r="CD23" s="141"/>
      <c r="CE23" s="146"/>
      <c r="CF23" s="146"/>
      <c r="CG23" s="77"/>
      <c r="CH23" s="77"/>
      <c r="CI23" s="77"/>
      <c r="CJ23" s="77"/>
      <c r="CK23" s="77"/>
      <c r="CL23" s="77"/>
      <c r="CM23" s="77"/>
      <c r="CN23" s="77"/>
      <c r="CO23" s="77"/>
      <c r="CP23" s="77"/>
      <c r="CQ23" s="77"/>
      <c r="CR23" s="77"/>
      <c r="CS23" s="77"/>
    </row>
    <row r="24" spans="2:98" ht="1.5" customHeight="1" x14ac:dyDescent="0.2">
      <c r="B24" s="312"/>
      <c r="C24" s="86"/>
      <c r="D24" s="86"/>
      <c r="E24" s="86"/>
      <c r="F24" s="221"/>
      <c r="G24" s="86"/>
      <c r="H24" s="86"/>
      <c r="I24" s="86"/>
      <c r="J24" s="87"/>
      <c r="K24" s="86"/>
      <c r="L24" s="86"/>
      <c r="M24" s="86"/>
      <c r="N24" s="86"/>
      <c r="O24" s="87"/>
      <c r="P24" s="86"/>
      <c r="Q24" s="86"/>
      <c r="R24" s="86"/>
      <c r="S24" s="86"/>
      <c r="T24" s="87"/>
      <c r="U24" s="86"/>
      <c r="V24" s="86"/>
      <c r="W24" s="86"/>
      <c r="X24" s="86"/>
      <c r="Y24" s="87"/>
      <c r="AC24" s="36">
        <v>2.6</v>
      </c>
      <c r="AD24" s="132">
        <v>0.93659999999999999</v>
      </c>
      <c r="AE24" s="132">
        <v>1.034</v>
      </c>
      <c r="AF24" s="132">
        <v>0.93659999999999999</v>
      </c>
      <c r="AG24" s="132">
        <v>1.034</v>
      </c>
      <c r="AH24" s="126">
        <f t="shared" si="32"/>
        <v>2481600</v>
      </c>
      <c r="AI24" s="36">
        <f t="shared" si="33"/>
        <v>70.245000000000005</v>
      </c>
      <c r="AJ24" s="126">
        <f t="shared" si="13"/>
        <v>13587.608206442286</v>
      </c>
      <c r="AK24" s="126">
        <f t="shared" si="14"/>
        <v>35327.781336749948</v>
      </c>
      <c r="AL24" s="126">
        <f t="shared" si="15"/>
        <v>2585000</v>
      </c>
      <c r="AM24" s="127">
        <f t="shared" si="15"/>
        <v>146.34375</v>
      </c>
      <c r="AN24" s="126">
        <f t="shared" si="15"/>
        <v>6793.8041032211431</v>
      </c>
      <c r="AO24" s="126">
        <f t="shared" si="15"/>
        <v>17663.890668374974</v>
      </c>
      <c r="AP24" s="126">
        <f t="shared" si="15"/>
        <v>2585000</v>
      </c>
      <c r="AQ24" s="127">
        <f t="shared" si="15"/>
        <v>146.34375</v>
      </c>
      <c r="AR24" s="126">
        <f t="shared" si="15"/>
        <v>6793.8041032211431</v>
      </c>
      <c r="AS24" s="126">
        <f t="shared" si="15"/>
        <v>17663.890668374974</v>
      </c>
      <c r="AT24" s="126">
        <f t="shared" si="15"/>
        <v>2585000</v>
      </c>
      <c r="AU24" s="127">
        <f t="shared" si="15"/>
        <v>146.34375</v>
      </c>
      <c r="AV24" s="126">
        <f t="shared" si="15"/>
        <v>6793.8041032211431</v>
      </c>
      <c r="AW24" s="126">
        <f t="shared" si="15"/>
        <v>17663.890668374974</v>
      </c>
      <c r="AY24" s="36">
        <v>2.6</v>
      </c>
      <c r="AZ24" s="126">
        <f t="shared" si="38"/>
        <v>2585000</v>
      </c>
      <c r="BA24" s="36">
        <f t="shared" si="39"/>
        <v>146.34375</v>
      </c>
      <c r="BB24" s="126">
        <f t="shared" si="40"/>
        <v>6793.8041032211431</v>
      </c>
      <c r="BC24" s="126">
        <f t="shared" si="41"/>
        <v>17663.890668374974</v>
      </c>
      <c r="BD24" s="126">
        <f t="shared" si="42"/>
        <v>2585000</v>
      </c>
      <c r="BE24" s="36">
        <f t="shared" si="43"/>
        <v>146.34375</v>
      </c>
      <c r="BF24" s="126">
        <f t="shared" si="34"/>
        <v>6793.8041032211431</v>
      </c>
      <c r="BG24" s="126">
        <f t="shared" si="35"/>
        <v>17663.890668374974</v>
      </c>
      <c r="BH24" s="126">
        <f t="shared" si="44"/>
        <v>2585000</v>
      </c>
      <c r="BI24" s="36">
        <f t="shared" si="45"/>
        <v>146.34375</v>
      </c>
      <c r="BJ24" s="126">
        <f t="shared" si="36"/>
        <v>6793.8041032211431</v>
      </c>
      <c r="BK24" s="126">
        <f t="shared" si="37"/>
        <v>17663.890668374974</v>
      </c>
      <c r="BM24" s="126">
        <f t="shared" si="46"/>
        <v>2585000</v>
      </c>
      <c r="BN24" s="36">
        <f t="shared" si="47"/>
        <v>146.34375</v>
      </c>
      <c r="BO24" s="126">
        <f t="shared" si="48"/>
        <v>6793.8041032211431</v>
      </c>
      <c r="BP24" s="126">
        <f t="shared" si="49"/>
        <v>17663.890668374974</v>
      </c>
      <c r="BQ24" s="126">
        <f t="shared" si="50"/>
        <v>2585000</v>
      </c>
      <c r="BR24" s="36">
        <f t="shared" si="51"/>
        <v>146.34375</v>
      </c>
      <c r="BS24" s="126">
        <f t="shared" si="52"/>
        <v>6793.8041032211431</v>
      </c>
      <c r="BT24" s="126">
        <f t="shared" si="53"/>
        <v>17663.890668374974</v>
      </c>
      <c r="BU24" s="126">
        <f t="shared" si="54"/>
        <v>2585000</v>
      </c>
      <c r="BV24" s="36">
        <f t="shared" si="55"/>
        <v>146.34375</v>
      </c>
      <c r="BW24" s="126">
        <f t="shared" si="56"/>
        <v>6793.8041032211431</v>
      </c>
      <c r="BX24" s="126">
        <f t="shared" si="57"/>
        <v>17663.890668374974</v>
      </c>
      <c r="BZ24" s="140" t="s">
        <v>112</v>
      </c>
      <c r="CA24" s="129">
        <v>2.6</v>
      </c>
      <c r="CB24" s="130">
        <v>0.16</v>
      </c>
      <c r="CC24" s="130"/>
      <c r="CD24" s="141"/>
      <c r="CE24" s="146"/>
      <c r="CF24" s="146"/>
      <c r="CG24" s="77"/>
      <c r="CH24" s="77"/>
      <c r="CI24" s="77"/>
      <c r="CJ24" s="77"/>
      <c r="CK24" s="77"/>
      <c r="CL24" s="77"/>
      <c r="CM24" s="77"/>
      <c r="CN24" s="77"/>
      <c r="CO24" s="77"/>
      <c r="CP24" s="77"/>
      <c r="CQ24" s="77"/>
      <c r="CR24" s="77"/>
      <c r="CS24" s="77"/>
    </row>
    <row r="25" spans="2:98" x14ac:dyDescent="0.2">
      <c r="B25" s="245"/>
      <c r="C25" s="246" t="s">
        <v>113</v>
      </c>
      <c r="D25" s="247" t="s">
        <v>114</v>
      </c>
      <c r="E25" s="248" t="s">
        <v>114</v>
      </c>
      <c r="F25" s="304" t="s">
        <v>115</v>
      </c>
      <c r="G25" s="305"/>
      <c r="H25" s="305"/>
      <c r="I25" s="305"/>
      <c r="J25" s="306"/>
      <c r="K25" s="304" t="s">
        <v>116</v>
      </c>
      <c r="L25" s="305"/>
      <c r="M25" s="305"/>
      <c r="N25" s="305"/>
      <c r="O25" s="306"/>
      <c r="P25" s="304" t="s">
        <v>117</v>
      </c>
      <c r="Q25" s="305"/>
      <c r="R25" s="305"/>
      <c r="S25" s="305"/>
      <c r="T25" s="306"/>
      <c r="U25" s="305" t="s">
        <v>118</v>
      </c>
      <c r="V25" s="305"/>
      <c r="W25" s="305"/>
      <c r="X25" s="305"/>
      <c r="Y25" s="307"/>
      <c r="AC25" s="36">
        <v>2.7</v>
      </c>
      <c r="AD25" s="132">
        <v>0.92820000000000003</v>
      </c>
      <c r="AE25" s="132">
        <v>1.038</v>
      </c>
      <c r="AF25" s="132">
        <v>0.92820000000000003</v>
      </c>
      <c r="AG25" s="132">
        <v>1.038</v>
      </c>
      <c r="AH25" s="126">
        <f t="shared" si="32"/>
        <v>2491200</v>
      </c>
      <c r="AI25" s="36">
        <f t="shared" si="33"/>
        <v>69.614999999999995</v>
      </c>
      <c r="AJ25" s="126">
        <f t="shared" si="13"/>
        <v>13253.848547966194</v>
      </c>
      <c r="AK25" s="126">
        <f t="shared" si="14"/>
        <v>35785.391079508729</v>
      </c>
      <c r="AL25" s="126">
        <f t="shared" si="15"/>
        <v>2595000</v>
      </c>
      <c r="AM25" s="127">
        <f t="shared" si="15"/>
        <v>145.03125</v>
      </c>
      <c r="AN25" s="126">
        <f t="shared" si="15"/>
        <v>6626.924273983097</v>
      </c>
      <c r="AO25" s="126">
        <f t="shared" si="15"/>
        <v>17892.695539754364</v>
      </c>
      <c r="AP25" s="126">
        <f t="shared" si="15"/>
        <v>2595000</v>
      </c>
      <c r="AQ25" s="127">
        <f t="shared" si="15"/>
        <v>145.03125</v>
      </c>
      <c r="AR25" s="126">
        <f t="shared" si="15"/>
        <v>6626.924273983097</v>
      </c>
      <c r="AS25" s="126">
        <f t="shared" si="15"/>
        <v>17892.695539754364</v>
      </c>
      <c r="AT25" s="126">
        <f t="shared" si="15"/>
        <v>2595000</v>
      </c>
      <c r="AU25" s="127">
        <f t="shared" si="15"/>
        <v>145.03125</v>
      </c>
      <c r="AV25" s="126">
        <f t="shared" si="15"/>
        <v>6626.924273983097</v>
      </c>
      <c r="AW25" s="126">
        <f t="shared" si="15"/>
        <v>17892.695539754364</v>
      </c>
      <c r="AY25" s="36">
        <v>2.7</v>
      </c>
      <c r="AZ25" s="126">
        <f t="shared" si="38"/>
        <v>2595000</v>
      </c>
      <c r="BA25" s="36">
        <f t="shared" si="39"/>
        <v>145.03125</v>
      </c>
      <c r="BB25" s="126">
        <f t="shared" si="40"/>
        <v>6626.924273983097</v>
      </c>
      <c r="BC25" s="126">
        <f t="shared" si="41"/>
        <v>17892.695539754364</v>
      </c>
      <c r="BD25" s="126">
        <f t="shared" si="42"/>
        <v>2595000</v>
      </c>
      <c r="BE25" s="36">
        <f t="shared" si="43"/>
        <v>145.03125</v>
      </c>
      <c r="BF25" s="126">
        <f t="shared" si="34"/>
        <v>6626.924273983097</v>
      </c>
      <c r="BG25" s="126">
        <f t="shared" si="35"/>
        <v>17892.695539754364</v>
      </c>
      <c r="BH25" s="126">
        <f t="shared" si="44"/>
        <v>2595000</v>
      </c>
      <c r="BI25" s="36">
        <f t="shared" si="45"/>
        <v>145.03125</v>
      </c>
      <c r="BJ25" s="126">
        <f t="shared" si="36"/>
        <v>6626.924273983097</v>
      </c>
      <c r="BK25" s="126">
        <f>BH25/BI25</f>
        <v>17892.695539754364</v>
      </c>
      <c r="BM25" s="126">
        <f t="shared" si="46"/>
        <v>2595000</v>
      </c>
      <c r="BN25" s="36">
        <f t="shared" si="47"/>
        <v>145.03125</v>
      </c>
      <c r="BO25" s="126">
        <f t="shared" si="48"/>
        <v>6626.924273983097</v>
      </c>
      <c r="BP25" s="126">
        <f t="shared" si="49"/>
        <v>17892.695539754364</v>
      </c>
      <c r="BQ25" s="126">
        <f t="shared" si="50"/>
        <v>2595000</v>
      </c>
      <c r="BR25" s="36">
        <f t="shared" si="51"/>
        <v>145.03125</v>
      </c>
      <c r="BS25" s="126">
        <f t="shared" si="52"/>
        <v>6626.924273983097</v>
      </c>
      <c r="BT25" s="126">
        <f t="shared" si="53"/>
        <v>17892.695539754364</v>
      </c>
      <c r="BU25" s="126">
        <f t="shared" si="54"/>
        <v>2595000</v>
      </c>
      <c r="BV25" s="36">
        <f t="shared" si="55"/>
        <v>145.03125</v>
      </c>
      <c r="BW25" s="126">
        <f t="shared" si="56"/>
        <v>6626.924273983097</v>
      </c>
      <c r="BX25" s="126">
        <f t="shared" si="57"/>
        <v>17892.695539754364</v>
      </c>
      <c r="BZ25" s="141"/>
      <c r="CA25" s="129">
        <v>2.7</v>
      </c>
      <c r="CB25" s="130">
        <v>0.17</v>
      </c>
      <c r="CC25" s="130"/>
      <c r="CD25" s="141"/>
      <c r="CE25" s="146"/>
      <c r="CF25" s="146"/>
      <c r="CG25" s="77"/>
      <c r="CH25" s="77"/>
      <c r="CI25" s="77"/>
      <c r="CJ25" s="77"/>
      <c r="CK25" s="77"/>
      <c r="CL25" s="77"/>
      <c r="CM25" s="77"/>
      <c r="CN25" s="77"/>
      <c r="CO25" s="77"/>
      <c r="CP25" s="77"/>
      <c r="CQ25" s="77"/>
      <c r="CR25" s="77"/>
      <c r="CS25" s="77"/>
    </row>
    <row r="26" spans="2:98" x14ac:dyDescent="0.2">
      <c r="B26" s="249"/>
      <c r="C26" s="250" t="s">
        <v>119</v>
      </c>
      <c r="D26" s="251" t="s">
        <v>120</v>
      </c>
      <c r="E26" s="252" t="s">
        <v>121</v>
      </c>
      <c r="F26" s="253" t="s">
        <v>122</v>
      </c>
      <c r="G26" s="254" t="s">
        <v>123</v>
      </c>
      <c r="H26" s="254" t="s">
        <v>66</v>
      </c>
      <c r="I26" s="254" t="s">
        <v>124</v>
      </c>
      <c r="J26" s="255" t="s">
        <v>125</v>
      </c>
      <c r="K26" s="253" t="s">
        <v>122</v>
      </c>
      <c r="L26" s="254" t="s">
        <v>123</v>
      </c>
      <c r="M26" s="254" t="s">
        <v>66</v>
      </c>
      <c r="N26" s="254" t="s">
        <v>124</v>
      </c>
      <c r="O26" s="255" t="s">
        <v>125</v>
      </c>
      <c r="P26" s="253" t="s">
        <v>122</v>
      </c>
      <c r="Q26" s="254" t="s">
        <v>123</v>
      </c>
      <c r="R26" s="254" t="s">
        <v>66</v>
      </c>
      <c r="S26" s="254" t="s">
        <v>124</v>
      </c>
      <c r="T26" s="255" t="s">
        <v>125</v>
      </c>
      <c r="U26" s="256" t="s">
        <v>122</v>
      </c>
      <c r="V26" s="254" t="s">
        <v>123</v>
      </c>
      <c r="W26" s="254" t="s">
        <v>66</v>
      </c>
      <c r="X26" s="254" t="s">
        <v>124</v>
      </c>
      <c r="Y26" s="257" t="s">
        <v>125</v>
      </c>
      <c r="AC26" s="36">
        <v>2.8</v>
      </c>
      <c r="AD26" s="132">
        <v>0.91980000000000006</v>
      </c>
      <c r="AE26" s="132">
        <v>1.042</v>
      </c>
      <c r="AF26" s="132">
        <v>0.91980000000000006</v>
      </c>
      <c r="AG26" s="132">
        <v>1.042</v>
      </c>
      <c r="AH26" s="126">
        <f t="shared" si="32"/>
        <v>2500800</v>
      </c>
      <c r="AI26" s="36">
        <f t="shared" si="33"/>
        <v>68.984999999999999</v>
      </c>
      <c r="AJ26" s="126">
        <f t="shared" si="13"/>
        <v>12946.913925387507</v>
      </c>
      <c r="AK26" s="126">
        <f t="shared" si="14"/>
        <v>36251.358991085021</v>
      </c>
      <c r="AL26" s="126">
        <f t="shared" si="15"/>
        <v>2605000</v>
      </c>
      <c r="AM26" s="127">
        <f t="shared" si="15"/>
        <v>143.71875</v>
      </c>
      <c r="AN26" s="126">
        <f t="shared" si="15"/>
        <v>6473.4569626937537</v>
      </c>
      <c r="AO26" s="126">
        <f t="shared" si="15"/>
        <v>18125.67949554251</v>
      </c>
      <c r="AP26" s="126">
        <f t="shared" si="15"/>
        <v>2605000</v>
      </c>
      <c r="AQ26" s="127">
        <f t="shared" si="15"/>
        <v>143.71875</v>
      </c>
      <c r="AR26" s="126">
        <f t="shared" si="15"/>
        <v>6473.4569626937537</v>
      </c>
      <c r="AS26" s="126">
        <f t="shared" si="15"/>
        <v>18125.67949554251</v>
      </c>
      <c r="AT26" s="126">
        <f t="shared" si="15"/>
        <v>2605000</v>
      </c>
      <c r="AU26" s="127">
        <f t="shared" si="15"/>
        <v>143.71875</v>
      </c>
      <c r="AV26" s="126">
        <f t="shared" si="15"/>
        <v>6473.4569626937537</v>
      </c>
      <c r="AW26" s="126">
        <f t="shared" si="15"/>
        <v>18125.67949554251</v>
      </c>
      <c r="AY26" s="36">
        <v>2.8</v>
      </c>
      <c r="AZ26" s="126">
        <f t="shared" si="38"/>
        <v>2605000</v>
      </c>
      <c r="BA26" s="36">
        <f t="shared" si="39"/>
        <v>143.71875</v>
      </c>
      <c r="BB26" s="126">
        <f t="shared" si="40"/>
        <v>6473.4569626937537</v>
      </c>
      <c r="BC26" s="126">
        <f t="shared" si="41"/>
        <v>18125.67949554251</v>
      </c>
      <c r="BD26" s="126">
        <f t="shared" si="42"/>
        <v>2605000</v>
      </c>
      <c r="BE26" s="36">
        <f t="shared" si="43"/>
        <v>143.71875</v>
      </c>
      <c r="BF26" s="126">
        <f t="shared" si="34"/>
        <v>6473.4569626937537</v>
      </c>
      <c r="BG26" s="126">
        <f t="shared" si="35"/>
        <v>18125.67949554251</v>
      </c>
      <c r="BH26" s="126">
        <f t="shared" si="44"/>
        <v>2605000</v>
      </c>
      <c r="BI26" s="36">
        <f t="shared" si="45"/>
        <v>143.71875</v>
      </c>
      <c r="BJ26" s="126">
        <f t="shared" si="36"/>
        <v>6473.4569626937537</v>
      </c>
      <c r="BK26" s="126">
        <f t="shared" si="37"/>
        <v>18125.67949554251</v>
      </c>
      <c r="BM26" s="126">
        <f t="shared" si="46"/>
        <v>2605000</v>
      </c>
      <c r="BN26" s="36">
        <f t="shared" si="47"/>
        <v>143.71875</v>
      </c>
      <c r="BO26" s="126">
        <f t="shared" si="48"/>
        <v>6473.4569626937537</v>
      </c>
      <c r="BP26" s="126">
        <f t="shared" si="49"/>
        <v>18125.67949554251</v>
      </c>
      <c r="BQ26" s="126">
        <f t="shared" si="50"/>
        <v>2605000</v>
      </c>
      <c r="BR26" s="36">
        <f t="shared" si="51"/>
        <v>143.71875</v>
      </c>
      <c r="BS26" s="126">
        <f t="shared" si="52"/>
        <v>6473.4569626937537</v>
      </c>
      <c r="BT26" s="126">
        <f t="shared" si="53"/>
        <v>18125.67949554251</v>
      </c>
      <c r="BU26" s="126">
        <f t="shared" si="54"/>
        <v>2605000</v>
      </c>
      <c r="BV26" s="36">
        <f t="shared" si="55"/>
        <v>143.71875</v>
      </c>
      <c r="BW26" s="126">
        <f t="shared" si="56"/>
        <v>6473.4569626937537</v>
      </c>
      <c r="BX26" s="126">
        <f t="shared" si="57"/>
        <v>18125.67949554251</v>
      </c>
      <c r="BZ26" s="141"/>
      <c r="CA26" s="129">
        <v>2.8</v>
      </c>
      <c r="CB26" s="130">
        <v>0.18</v>
      </c>
      <c r="CC26" s="130"/>
      <c r="CD26" s="141"/>
      <c r="CE26" s="146"/>
      <c r="CF26" s="146"/>
      <c r="CG26" s="77"/>
      <c r="CH26" s="77"/>
      <c r="CI26" s="77"/>
      <c r="CJ26" s="77"/>
      <c r="CK26" s="77"/>
      <c r="CL26" s="77"/>
      <c r="CM26" s="77"/>
      <c r="CN26" s="77"/>
      <c r="CO26" s="77"/>
      <c r="CP26" s="77"/>
      <c r="CQ26" s="77"/>
      <c r="CR26" s="77"/>
      <c r="CS26" s="77"/>
    </row>
    <row r="27" spans="2:98" x14ac:dyDescent="0.2">
      <c r="B27" s="308" t="s">
        <v>126</v>
      </c>
      <c r="C27" s="123" t="s">
        <v>36</v>
      </c>
      <c r="D27" s="162">
        <v>200000</v>
      </c>
      <c r="E27" s="163">
        <v>30000</v>
      </c>
      <c r="F27" s="164">
        <f>IF(OR(D27="",E27=""),"",IF(C27="","",ROUND(E27-$I$10,0)))</f>
        <v>14000</v>
      </c>
      <c r="G27" s="165" t="str">
        <f>IF(OR(D27="",E27=""),"",IF($I$12&gt;F27,C27,""))</f>
        <v/>
      </c>
      <c r="H27" s="121" t="str">
        <f t="shared" ref="H27:H44" si="58">IF(OR(D27="",E27=""),"",IF(C27="","",IF(ROUND($I$12,0)&gt;ROUND(E27-$I$10,0),D27,"")))</f>
        <v/>
      </c>
      <c r="I27" s="121" t="str">
        <f>IF(OR(D27="",E27=""),"",IF(OR(C27="",H27=""),"",IF(F27=0,0,-(D27/E27)*(E27-$I$10))))</f>
        <v/>
      </c>
      <c r="J27" s="163">
        <f>IF(OR(D27="",E27="",$I$12=""),"",IF(C27="","",IF(H27="",ROUND(E27-$I$10,0),E27)))</f>
        <v>14000</v>
      </c>
      <c r="K27" s="164">
        <f>IF(OR(D27="",E27="",J27=""),"",IF(C27="","",IF(ROUND(J27-$N$10,0)&lt;=0,0,J27-$N$10)))</f>
        <v>6000</v>
      </c>
      <c r="L27" s="165" t="str">
        <f t="shared" ref="L27:L44" si="59">IF(OR(D27="",E27=""),"",IF($N$12&gt;K27,C27,""))</f>
        <v>LLP 1</v>
      </c>
      <c r="M27" s="121">
        <f t="shared" ref="M27:M44" si="60">IF(OR(D27="",E27="",$I$12=""),"",IF(C27="","",IF(ROUND($N$12,0)&gt;ROUND(J27-$N$10,0),D27,"")))</f>
        <v>200000</v>
      </c>
      <c r="N27" s="121">
        <f>IF(OR(D27="",E27=""),"",IF(OR(C27="",M27=""),"",IF(K27=0,0,-(D27/E27)*(J27-$N$10))))</f>
        <v>-40000</v>
      </c>
      <c r="O27" s="163">
        <f>IF(OR(D27="",E27="",$N$12=""),"",IF(C27="","",IF(M27="",ROUND(J27-$N$10,0),E27)))</f>
        <v>30000</v>
      </c>
      <c r="P27" s="164">
        <f>IF(OR(D27="",E27="",O27=""),"",IF(C27="","",IF(ROUND(O27-$S$10,0)&lt;=0,0,O27-$S$10)))</f>
        <v>22000</v>
      </c>
      <c r="Q27" s="123" t="str">
        <f>IF(OR(D27="",E27=""),"",IF($S$12&gt;P27,C27,""))</f>
        <v/>
      </c>
      <c r="R27" s="121" t="str">
        <f>IF(OR(D27="",E27="",$S$10="",$S$12=""),"",IF(C27="","",IF(ROUND($S$12,0)&gt;ROUND(O27-$S$10,0),D27,"")))</f>
        <v/>
      </c>
      <c r="S27" s="121" t="str">
        <f>IF(OR(D27="",E27=""),"",IF(OR(C27="",R27=""),"",IF(P27=0,0,-(D27/E27)*(O27-$S$10))))</f>
        <v/>
      </c>
      <c r="T27" s="163">
        <f>IF(OR(D27="",E27="",$S$10="",$S$12=""),"",IF(C27="","",IF(R27="",ROUND(O27-$S$10,0),E27)))</f>
        <v>22000</v>
      </c>
      <c r="U27" s="217">
        <f>IF(OR(D27="",E27="",T27=""),"",IF(C27="","",IF(ROUND(T27-$X$10,0)&lt;=0,0,T27-$X$10)))</f>
        <v>14000</v>
      </c>
      <c r="V27" s="156" t="str">
        <f>IF(OR(D27="",E27=""),"",IF($X$12&gt;U27,C27,""))</f>
        <v/>
      </c>
      <c r="W27" s="217" t="str">
        <f>IF(OR(D27="",E27="",$X$10="",$X$12=""),"",IF(C27="","",IF(ROUND($X$12,0)&gt;ROUND(T27-$X$10,0),D27,"")))</f>
        <v/>
      </c>
      <c r="X27" s="217" t="str">
        <f>IF(OR(D27="",E27=""),"",IF(OR(C27="",W27=""),"",IF(U27=0,0,-(D27/E27)*(T27-$X$10))))</f>
        <v/>
      </c>
      <c r="Y27" s="166">
        <f>IF(OR(D27="",E27="",$X$10="",$X$12=""),"",IF(C27="","",IF(W27="",ROUND(T27-$X$10,0),E27)))</f>
        <v>14000</v>
      </c>
      <c r="AC27" s="36">
        <v>2.9</v>
      </c>
      <c r="AD27" s="132">
        <v>0.9114000000000001</v>
      </c>
      <c r="AE27" s="132">
        <v>1.046</v>
      </c>
      <c r="AF27" s="132">
        <v>0.9114000000000001</v>
      </c>
      <c r="AG27" s="132">
        <v>1.046</v>
      </c>
      <c r="AH27" s="126">
        <f t="shared" si="32"/>
        <v>2510400</v>
      </c>
      <c r="AI27" s="36">
        <f t="shared" si="33"/>
        <v>68.355000000000004</v>
      </c>
      <c r="AJ27" s="126">
        <f t="shared" si="13"/>
        <v>12664.109025145095</v>
      </c>
      <c r="AK27" s="126">
        <f t="shared" si="14"/>
        <v>36725.916172920777</v>
      </c>
      <c r="AL27" s="126">
        <f t="shared" si="15"/>
        <v>2615000</v>
      </c>
      <c r="AM27" s="127">
        <f t="shared" si="15"/>
        <v>142.40625000000003</v>
      </c>
      <c r="AN27" s="126">
        <f t="shared" si="15"/>
        <v>6332.0545125725475</v>
      </c>
      <c r="AO27" s="126">
        <f t="shared" si="15"/>
        <v>18362.958086460389</v>
      </c>
      <c r="AP27" s="126">
        <f t="shared" si="15"/>
        <v>2615000</v>
      </c>
      <c r="AQ27" s="127">
        <f t="shared" si="15"/>
        <v>142.40625000000003</v>
      </c>
      <c r="AR27" s="126">
        <f t="shared" si="15"/>
        <v>6332.0545125725475</v>
      </c>
      <c r="AS27" s="126">
        <f t="shared" si="15"/>
        <v>18362.958086460389</v>
      </c>
      <c r="AT27" s="126">
        <f t="shared" si="15"/>
        <v>2615000</v>
      </c>
      <c r="AU27" s="127">
        <f t="shared" si="15"/>
        <v>142.40625000000003</v>
      </c>
      <c r="AV27" s="126">
        <f t="shared" si="15"/>
        <v>6332.0545125725475</v>
      </c>
      <c r="AW27" s="126">
        <f t="shared" si="15"/>
        <v>18362.958086460389</v>
      </c>
      <c r="AY27" s="36">
        <v>2.9</v>
      </c>
      <c r="AZ27" s="126">
        <f t="shared" si="38"/>
        <v>2615000</v>
      </c>
      <c r="BA27" s="36">
        <f t="shared" si="39"/>
        <v>142.40625000000003</v>
      </c>
      <c r="BB27" s="126">
        <f t="shared" si="40"/>
        <v>6332.0545125725475</v>
      </c>
      <c r="BC27" s="126">
        <f t="shared" si="41"/>
        <v>18362.958086460389</v>
      </c>
      <c r="BD27" s="126">
        <f t="shared" si="42"/>
        <v>2615000</v>
      </c>
      <c r="BE27" s="36">
        <f t="shared" si="43"/>
        <v>142.40625000000003</v>
      </c>
      <c r="BF27" s="126">
        <f t="shared" si="34"/>
        <v>6332.0545125725475</v>
      </c>
      <c r="BG27" s="126">
        <f t="shared" si="35"/>
        <v>18362.958086460389</v>
      </c>
      <c r="BH27" s="126">
        <f t="shared" si="44"/>
        <v>2615000</v>
      </c>
      <c r="BI27" s="36">
        <f t="shared" si="45"/>
        <v>142.40625000000003</v>
      </c>
      <c r="BJ27" s="126">
        <f t="shared" si="36"/>
        <v>6332.0545125725475</v>
      </c>
      <c r="BK27" s="126">
        <f t="shared" si="37"/>
        <v>18362.958086460389</v>
      </c>
      <c r="BM27" s="126">
        <f t="shared" si="46"/>
        <v>2615000</v>
      </c>
      <c r="BN27" s="36">
        <f t="shared" si="47"/>
        <v>142.40625000000003</v>
      </c>
      <c r="BO27" s="126">
        <f t="shared" si="48"/>
        <v>6332.0545125725475</v>
      </c>
      <c r="BP27" s="126">
        <f t="shared" si="49"/>
        <v>18362.958086460389</v>
      </c>
      <c r="BQ27" s="126">
        <f t="shared" si="50"/>
        <v>2615000</v>
      </c>
      <c r="BR27" s="36">
        <f t="shared" si="51"/>
        <v>142.40625000000003</v>
      </c>
      <c r="BS27" s="126">
        <f t="shared" si="52"/>
        <v>6332.0545125725475</v>
      </c>
      <c r="BT27" s="126">
        <f t="shared" si="53"/>
        <v>18362.958086460389</v>
      </c>
      <c r="BU27" s="126">
        <f t="shared" si="54"/>
        <v>2615000</v>
      </c>
      <c r="BV27" s="36">
        <f t="shared" si="55"/>
        <v>142.40625000000003</v>
      </c>
      <c r="BW27" s="126">
        <f t="shared" si="56"/>
        <v>6332.0545125725475</v>
      </c>
      <c r="BX27" s="126">
        <f t="shared" si="57"/>
        <v>18362.958086460389</v>
      </c>
      <c r="BZ27" s="141"/>
      <c r="CA27" s="129">
        <v>2.9</v>
      </c>
      <c r="CB27" s="130">
        <v>0.19</v>
      </c>
      <c r="CC27" s="130"/>
      <c r="CD27" s="141"/>
      <c r="CE27" s="146"/>
      <c r="CF27" s="146"/>
      <c r="CG27" s="77"/>
      <c r="CH27" s="77"/>
      <c r="CI27" s="77"/>
      <c r="CJ27" s="77"/>
      <c r="CK27" s="77"/>
      <c r="CL27" s="77"/>
      <c r="CM27" s="77"/>
      <c r="CN27" s="77"/>
      <c r="CO27" s="77"/>
      <c r="CP27" s="77"/>
      <c r="CQ27" s="77"/>
      <c r="CR27" s="77"/>
      <c r="CS27" s="77"/>
    </row>
    <row r="28" spans="2:98" x14ac:dyDescent="0.2">
      <c r="B28" s="308"/>
      <c r="C28" s="123" t="s">
        <v>38</v>
      </c>
      <c r="D28" s="162">
        <v>200000</v>
      </c>
      <c r="E28" s="163">
        <v>30000</v>
      </c>
      <c r="F28" s="164">
        <f t="shared" ref="F28:F44" si="61">IF(OR(D28="",E28=""),"",IF(C28="","",ROUND(E28-$I$10,0)))</f>
        <v>14000</v>
      </c>
      <c r="G28" s="165" t="str">
        <f t="shared" ref="G28:G44" si="62">IF(OR(D28="",E28=""),"",IF($I$12&gt;F28,C28,""))</f>
        <v/>
      </c>
      <c r="H28" s="121" t="str">
        <f t="shared" si="58"/>
        <v/>
      </c>
      <c r="I28" s="121" t="str">
        <f t="shared" ref="I28:I44" si="63">IF(OR(D28="",E28=""),"",IF(OR(C28="",H28=""),"",IF(F28=0,0,-(D28/E28)*(E28-$I$10))))</f>
        <v/>
      </c>
      <c r="J28" s="163">
        <f t="shared" ref="J28:J44" si="64">IF(OR(D28="",E28="",$I$12=""),"",IF(C28="","",IF(H28="",ROUND(E28-$I$10,0),E28)))</f>
        <v>14000</v>
      </c>
      <c r="K28" s="164">
        <f>IF(OR(D28="",E28="",J28=""),"",IF(C28="","",IF(ROUND(J28-$N$10,0)&lt;=0,0,J28-$N$10)))</f>
        <v>6000</v>
      </c>
      <c r="L28" s="165" t="str">
        <f t="shared" si="59"/>
        <v>LLP 2</v>
      </c>
      <c r="M28" s="121">
        <f t="shared" si="60"/>
        <v>200000</v>
      </c>
      <c r="N28" s="121">
        <f t="shared" ref="N28:N44" si="65">IF(OR(D28="",E28=""),"",IF(OR(C28="",M28=""),"",IF(K28=0,0,-(D28/E28)*(J28-$N$10))))</f>
        <v>-40000</v>
      </c>
      <c r="O28" s="163">
        <f t="shared" ref="O28:O44" si="66">IF(OR(D28="",E28="",$N$12=""),"",IF(C28="","",IF(M28="",ROUND(J28-$N$10,0),E28)))</f>
        <v>30000</v>
      </c>
      <c r="P28" s="164">
        <f t="shared" ref="P28:P44" si="67">IF(OR(D28="",E28="",O28=""),"",IF(C28="","",IF(ROUND(O28-$S$10,0)&lt;=0,0,O28-$S$10)))</f>
        <v>22000</v>
      </c>
      <c r="Q28" s="123" t="str">
        <f t="shared" ref="Q28:Q44" si="68">IF(OR(D28="",E28=""),"",IF($S$12&gt;P28,C28,""))</f>
        <v/>
      </c>
      <c r="R28" s="121" t="str">
        <f t="shared" ref="R28:R44" si="69">IF(OR(D28="",E28="",$S$10="",$S$12=""),"",IF(C28="","",IF(ROUND($S$12,0)&gt;ROUND(O28-$S$10,0),D28,"")))</f>
        <v/>
      </c>
      <c r="S28" s="121" t="str">
        <f t="shared" ref="S28:S44" si="70">IF(OR(D28="",E28=""),"",IF(OR(C28="",R28=""),"",IF(P28=0,0,-(D28/E28)*(O28-$S$10))))</f>
        <v/>
      </c>
      <c r="T28" s="163">
        <f t="shared" ref="T28:T44" si="71">IF(OR(D28="",E28="",$S$10="",$S$12=""),"",IF(C28="","",IF(R28="",ROUND(O28-$S$10,0),E28)))</f>
        <v>22000</v>
      </c>
      <c r="U28" s="217">
        <f t="shared" ref="U28:U44" si="72">IF(OR(D28="",E28="",T28=""),"",IF(C28="","",IF(ROUND(T28-$X$10,0)&lt;=0,0,T28-$X$10)))</f>
        <v>14000</v>
      </c>
      <c r="V28" s="156" t="str">
        <f t="shared" ref="V28:V44" si="73">IF(OR(D28="",E28=""),"",IF($X$12&gt;U28,C28,""))</f>
        <v/>
      </c>
      <c r="W28" s="217" t="str">
        <f t="shared" ref="W28:W44" si="74">IF(OR(D28="",E28="",$X$10="",$X$12=""),"",IF(C28="","",IF(ROUND($X$12,0)&gt;ROUND(T28-$X$10,0),D28,"")))</f>
        <v/>
      </c>
      <c r="X28" s="217" t="str">
        <f t="shared" ref="X28:X44" si="75">IF(OR(D28="",E28=""),"",IF(OR(C28="",W28=""),"",IF(U28=0,0,-(D28/E28)*(T28-$X$10))))</f>
        <v/>
      </c>
      <c r="Y28" s="166">
        <f t="shared" ref="Y28:Y44" si="76">IF(OR(D28="",E28="",$X$10="",$X$12=""),"",IF(C28="","",IF(W28="",ROUND(T28-$X$10,0),E28)))</f>
        <v>14000</v>
      </c>
      <c r="AC28" s="54">
        <v>3</v>
      </c>
      <c r="AD28" s="124">
        <v>0.90300000000000002</v>
      </c>
      <c r="AE28" s="124">
        <v>1.05</v>
      </c>
      <c r="AF28" s="124">
        <v>0.90300000000000002</v>
      </c>
      <c r="AG28" s="124">
        <v>1.05</v>
      </c>
      <c r="AH28" s="125">
        <f t="shared" si="32"/>
        <v>2520000</v>
      </c>
      <c r="AI28" s="54">
        <f t="shared" si="33"/>
        <v>67.725000000000009</v>
      </c>
      <c r="AJ28" s="125">
        <f t="shared" si="13"/>
        <v>12403.100775193796</v>
      </c>
      <c r="AK28" s="125">
        <f t="shared" si="14"/>
        <v>37209.30232558139</v>
      </c>
      <c r="AL28" s="126">
        <f t="shared" si="15"/>
        <v>2625000</v>
      </c>
      <c r="AM28" s="127">
        <f t="shared" si="15"/>
        <v>141.09375</v>
      </c>
      <c r="AN28" s="126">
        <f t="shared" si="15"/>
        <v>6201.5503875968998</v>
      </c>
      <c r="AO28" s="126">
        <f t="shared" si="15"/>
        <v>18604.651162790698</v>
      </c>
      <c r="AP28" s="126">
        <f t="shared" si="15"/>
        <v>2625000</v>
      </c>
      <c r="AQ28" s="127">
        <f t="shared" si="15"/>
        <v>141.09375</v>
      </c>
      <c r="AR28" s="126">
        <f t="shared" si="15"/>
        <v>6201.5503875968998</v>
      </c>
      <c r="AS28" s="126">
        <f t="shared" si="15"/>
        <v>18604.651162790698</v>
      </c>
      <c r="AT28" s="126">
        <f t="shared" si="15"/>
        <v>2625000</v>
      </c>
      <c r="AU28" s="127">
        <f t="shared" si="15"/>
        <v>141.09375</v>
      </c>
      <c r="AV28" s="126">
        <f t="shared" si="15"/>
        <v>6201.5503875968998</v>
      </c>
      <c r="AW28" s="126">
        <f t="shared" si="15"/>
        <v>18604.651162790698</v>
      </c>
      <c r="AY28" s="36">
        <v>3</v>
      </c>
      <c r="AZ28" s="126">
        <f t="shared" si="38"/>
        <v>2625000</v>
      </c>
      <c r="BA28" s="36">
        <f t="shared" si="39"/>
        <v>141.09375</v>
      </c>
      <c r="BB28" s="126">
        <f t="shared" si="40"/>
        <v>6201.5503875968998</v>
      </c>
      <c r="BC28" s="126">
        <f t="shared" si="41"/>
        <v>18604.651162790698</v>
      </c>
      <c r="BD28" s="126">
        <f t="shared" si="42"/>
        <v>2625000</v>
      </c>
      <c r="BE28" s="36">
        <f t="shared" si="43"/>
        <v>141.09375</v>
      </c>
      <c r="BF28" s="126">
        <f t="shared" si="34"/>
        <v>6201.5503875968998</v>
      </c>
      <c r="BG28" s="126">
        <f t="shared" si="35"/>
        <v>18604.651162790698</v>
      </c>
      <c r="BH28" s="126">
        <f t="shared" si="44"/>
        <v>2625000</v>
      </c>
      <c r="BI28" s="36">
        <f t="shared" si="45"/>
        <v>141.09375</v>
      </c>
      <c r="BJ28" s="126">
        <f t="shared" si="36"/>
        <v>6201.5503875968998</v>
      </c>
      <c r="BK28" s="126">
        <f t="shared" si="37"/>
        <v>18604.651162790698</v>
      </c>
      <c r="BM28" s="126">
        <f t="shared" si="46"/>
        <v>2625000</v>
      </c>
      <c r="BN28" s="36">
        <f t="shared" si="47"/>
        <v>141.09375</v>
      </c>
      <c r="BO28" s="126">
        <f t="shared" si="48"/>
        <v>6201.5503875968998</v>
      </c>
      <c r="BP28" s="126">
        <f t="shared" si="49"/>
        <v>18604.651162790698</v>
      </c>
      <c r="BQ28" s="126">
        <f t="shared" si="50"/>
        <v>2625000</v>
      </c>
      <c r="BR28" s="36">
        <f t="shared" si="51"/>
        <v>141.09375</v>
      </c>
      <c r="BS28" s="126">
        <f t="shared" si="52"/>
        <v>6201.5503875968998</v>
      </c>
      <c r="BT28" s="126">
        <f t="shared" si="53"/>
        <v>18604.651162790698</v>
      </c>
      <c r="BU28" s="126">
        <f t="shared" si="54"/>
        <v>2625000</v>
      </c>
      <c r="BV28" s="36">
        <f t="shared" si="55"/>
        <v>141.09375</v>
      </c>
      <c r="BW28" s="126">
        <f t="shared" si="56"/>
        <v>6201.5503875968998</v>
      </c>
      <c r="BX28" s="126">
        <f t="shared" si="57"/>
        <v>18604.651162790698</v>
      </c>
      <c r="BZ28" s="141"/>
      <c r="CA28" s="129">
        <v>3</v>
      </c>
      <c r="CB28" s="130">
        <v>0.2</v>
      </c>
      <c r="CC28" s="130"/>
      <c r="CD28" s="141"/>
      <c r="CE28" s="146"/>
      <c r="CF28" s="146"/>
      <c r="CG28" s="77"/>
      <c r="CH28" s="77"/>
      <c r="CI28" s="77"/>
      <c r="CJ28" s="77"/>
      <c r="CK28" s="77"/>
      <c r="CL28" s="77"/>
      <c r="CM28" s="77"/>
      <c r="CN28" s="77"/>
      <c r="CO28" s="77"/>
      <c r="CP28" s="77"/>
      <c r="CQ28" s="77"/>
      <c r="CR28" s="77"/>
      <c r="CS28" s="77"/>
    </row>
    <row r="29" spans="2:98" x14ac:dyDescent="0.2">
      <c r="B29" s="309"/>
      <c r="C29" s="167" t="s">
        <v>40</v>
      </c>
      <c r="D29" s="168">
        <v>200000</v>
      </c>
      <c r="E29" s="169">
        <v>30000</v>
      </c>
      <c r="F29" s="170">
        <f t="shared" si="61"/>
        <v>14000</v>
      </c>
      <c r="G29" s="171" t="str">
        <f t="shared" si="62"/>
        <v/>
      </c>
      <c r="H29" s="169" t="str">
        <f t="shared" si="58"/>
        <v/>
      </c>
      <c r="I29" s="169" t="str">
        <f t="shared" si="63"/>
        <v/>
      </c>
      <c r="J29" s="172">
        <f t="shared" si="64"/>
        <v>14000</v>
      </c>
      <c r="K29" s="170">
        <f>IF(OR(D29="",E29="",J29=""),"",IF(C29="","",IF(ROUND(J29-$N$10,0)&lt;=0,0,J29-$N$10)))</f>
        <v>6000</v>
      </c>
      <c r="L29" s="171" t="str">
        <f t="shared" si="59"/>
        <v>LLP 3</v>
      </c>
      <c r="M29" s="169">
        <f t="shared" si="60"/>
        <v>200000</v>
      </c>
      <c r="N29" s="169">
        <f t="shared" si="65"/>
        <v>-40000</v>
      </c>
      <c r="O29" s="172">
        <f t="shared" si="66"/>
        <v>30000</v>
      </c>
      <c r="P29" s="170">
        <f t="shared" si="67"/>
        <v>22000</v>
      </c>
      <c r="Q29" s="167" t="str">
        <f t="shared" si="68"/>
        <v/>
      </c>
      <c r="R29" s="169" t="str">
        <f t="shared" si="69"/>
        <v/>
      </c>
      <c r="S29" s="169" t="str">
        <f t="shared" si="70"/>
        <v/>
      </c>
      <c r="T29" s="172">
        <f t="shared" si="71"/>
        <v>22000</v>
      </c>
      <c r="U29" s="173">
        <f t="shared" si="72"/>
        <v>14000</v>
      </c>
      <c r="V29" s="174" t="str">
        <f t="shared" si="73"/>
        <v/>
      </c>
      <c r="W29" s="173" t="str">
        <f t="shared" si="74"/>
        <v/>
      </c>
      <c r="X29" s="173" t="str">
        <f t="shared" si="75"/>
        <v/>
      </c>
      <c r="Y29" s="175">
        <f t="shared" si="76"/>
        <v>14000</v>
      </c>
      <c r="AC29" s="36">
        <v>3.1</v>
      </c>
      <c r="AD29" s="132">
        <v>0.89760000000000006</v>
      </c>
      <c r="AE29" s="132">
        <v>1.054</v>
      </c>
      <c r="AF29" s="132">
        <v>0.89760000000000006</v>
      </c>
      <c r="AG29" s="132">
        <v>1.054</v>
      </c>
      <c r="AH29" s="126">
        <f t="shared" si="32"/>
        <v>2529600</v>
      </c>
      <c r="AI29" s="36">
        <f t="shared" si="33"/>
        <v>67.320000000000007</v>
      </c>
      <c r="AJ29" s="126">
        <f t="shared" si="13"/>
        <v>12121.212121212118</v>
      </c>
      <c r="AK29" s="126">
        <f t="shared" si="14"/>
        <v>37575.757575757569</v>
      </c>
      <c r="AL29" s="126">
        <f t="shared" si="15"/>
        <v>2635000</v>
      </c>
      <c r="AM29" s="127">
        <f t="shared" si="15"/>
        <v>140.25</v>
      </c>
      <c r="AN29" s="126">
        <f t="shared" si="15"/>
        <v>6060.6060606060601</v>
      </c>
      <c r="AO29" s="126">
        <f t="shared" si="15"/>
        <v>18787.878787878788</v>
      </c>
      <c r="AP29" s="126">
        <f t="shared" si="15"/>
        <v>2635000</v>
      </c>
      <c r="AQ29" s="127">
        <f t="shared" si="15"/>
        <v>140.25</v>
      </c>
      <c r="AR29" s="126">
        <f t="shared" si="15"/>
        <v>6060.6060606060601</v>
      </c>
      <c r="AS29" s="126">
        <f t="shared" si="15"/>
        <v>18787.878787878788</v>
      </c>
      <c r="AT29" s="126">
        <f t="shared" si="15"/>
        <v>2635000</v>
      </c>
      <c r="AU29" s="127">
        <f t="shared" si="15"/>
        <v>140.25</v>
      </c>
      <c r="AV29" s="126">
        <f t="shared" si="15"/>
        <v>6060.6060606060601</v>
      </c>
      <c r="AW29" s="126">
        <f t="shared" si="15"/>
        <v>18787.878787878788</v>
      </c>
      <c r="AY29" s="36">
        <v>3.1</v>
      </c>
      <c r="AZ29" s="126">
        <f t="shared" si="38"/>
        <v>2635000</v>
      </c>
      <c r="BA29" s="36">
        <f t="shared" si="39"/>
        <v>140.25</v>
      </c>
      <c r="BB29" s="126">
        <f t="shared" si="40"/>
        <v>6060.6060606060601</v>
      </c>
      <c r="BC29" s="126">
        <f t="shared" si="41"/>
        <v>18787.878787878788</v>
      </c>
      <c r="BD29" s="126">
        <f t="shared" si="42"/>
        <v>2635000</v>
      </c>
      <c r="BE29" s="36">
        <f t="shared" si="43"/>
        <v>140.25</v>
      </c>
      <c r="BF29" s="126">
        <f t="shared" si="34"/>
        <v>6060.6060606060601</v>
      </c>
      <c r="BG29" s="126">
        <f t="shared" si="35"/>
        <v>18787.878787878788</v>
      </c>
      <c r="BH29" s="126">
        <f t="shared" si="44"/>
        <v>2635000</v>
      </c>
      <c r="BI29" s="36">
        <f t="shared" si="45"/>
        <v>140.25</v>
      </c>
      <c r="BJ29" s="126">
        <f t="shared" si="36"/>
        <v>6060.6060606060601</v>
      </c>
      <c r="BK29" s="126">
        <f t="shared" si="37"/>
        <v>18787.878787878788</v>
      </c>
      <c r="BM29" s="126">
        <f t="shared" si="46"/>
        <v>2635000</v>
      </c>
      <c r="BN29" s="36">
        <f t="shared" si="47"/>
        <v>140.25</v>
      </c>
      <c r="BO29" s="126">
        <f t="shared" si="48"/>
        <v>6060.6060606060601</v>
      </c>
      <c r="BP29" s="126">
        <f t="shared" si="49"/>
        <v>18787.878787878788</v>
      </c>
      <c r="BQ29" s="126">
        <f t="shared" si="50"/>
        <v>2635000</v>
      </c>
      <c r="BR29" s="36">
        <f t="shared" si="51"/>
        <v>140.25</v>
      </c>
      <c r="BS29" s="126">
        <f t="shared" si="52"/>
        <v>6060.6060606060601</v>
      </c>
      <c r="BT29" s="126">
        <f t="shared" si="53"/>
        <v>18787.878787878788</v>
      </c>
      <c r="BU29" s="126">
        <f t="shared" si="54"/>
        <v>2635000</v>
      </c>
      <c r="BV29" s="36">
        <f t="shared" si="55"/>
        <v>140.25</v>
      </c>
      <c r="BW29" s="126">
        <f t="shared" si="56"/>
        <v>6060.6060606060601</v>
      </c>
      <c r="BX29" s="126">
        <f t="shared" si="57"/>
        <v>18787.878787878788</v>
      </c>
      <c r="BZ29" s="141"/>
      <c r="CA29" s="129">
        <v>3.1</v>
      </c>
      <c r="CB29" s="130"/>
      <c r="CC29" s="130"/>
      <c r="CD29" s="141"/>
      <c r="CE29" s="146"/>
      <c r="CF29" s="146"/>
      <c r="CG29" s="77"/>
      <c r="CH29" s="77"/>
      <c r="CI29" s="77"/>
      <c r="CJ29" s="77"/>
      <c r="CK29" s="77"/>
      <c r="CL29" s="77"/>
      <c r="CM29" s="77"/>
      <c r="CN29" s="77"/>
      <c r="CO29" s="77"/>
      <c r="CP29" s="77"/>
      <c r="CQ29" s="77"/>
      <c r="CR29" s="77"/>
      <c r="CS29" s="77"/>
    </row>
    <row r="30" spans="2:98" x14ac:dyDescent="0.2">
      <c r="B30" s="310" t="s">
        <v>127</v>
      </c>
      <c r="C30" s="123" t="s">
        <v>43</v>
      </c>
      <c r="D30" s="162">
        <v>100000</v>
      </c>
      <c r="E30" s="163">
        <v>20000</v>
      </c>
      <c r="F30" s="164">
        <f t="shared" si="61"/>
        <v>4000</v>
      </c>
      <c r="G30" s="165" t="str">
        <f t="shared" si="62"/>
        <v>LLP 4</v>
      </c>
      <c r="H30" s="121">
        <f t="shared" si="58"/>
        <v>100000</v>
      </c>
      <c r="I30" s="121">
        <f>IF(OR(D30="",E30=""),"",IF(OR(C30="",H30=""),"",IF(F30=0,0,-(D30/E30)*(E30-$I$10))))</f>
        <v>-20000</v>
      </c>
      <c r="J30" s="163">
        <f t="shared" si="64"/>
        <v>20000</v>
      </c>
      <c r="K30" s="164">
        <f>IF(OR(D30="",E30="",J30=""),"",IF(C30="","",IF(ROUND(J30-$N$10,0)&lt;=0,0,J30-$N$10)))</f>
        <v>12000</v>
      </c>
      <c r="L30" s="165" t="str">
        <f>IF(OR(D30="",E30=""),"",IF($N$12&gt;K30,C30,""))</f>
        <v/>
      </c>
      <c r="M30" s="121" t="str">
        <f t="shared" si="60"/>
        <v/>
      </c>
      <c r="N30" s="121" t="str">
        <f>IF(OR(D30="",E30=""),"",IF(OR(C30="",M30=""),"",IF(K30=0,0,-(D30/E30)*(J30-$N$10))))</f>
        <v/>
      </c>
      <c r="O30" s="163">
        <f t="shared" si="66"/>
        <v>12000</v>
      </c>
      <c r="P30" s="164">
        <f t="shared" si="67"/>
        <v>4000</v>
      </c>
      <c r="Q30" s="123" t="str">
        <f t="shared" si="68"/>
        <v>LLP 4</v>
      </c>
      <c r="R30" s="121">
        <f t="shared" si="69"/>
        <v>100000</v>
      </c>
      <c r="S30" s="121">
        <f t="shared" si="70"/>
        <v>-20000</v>
      </c>
      <c r="T30" s="163">
        <f t="shared" si="71"/>
        <v>20000</v>
      </c>
      <c r="U30" s="217">
        <f t="shared" si="72"/>
        <v>12000</v>
      </c>
      <c r="V30" s="156" t="str">
        <f t="shared" si="73"/>
        <v/>
      </c>
      <c r="W30" s="217" t="str">
        <f t="shared" si="74"/>
        <v/>
      </c>
      <c r="X30" s="217" t="str">
        <f t="shared" si="75"/>
        <v/>
      </c>
      <c r="Y30" s="166">
        <f t="shared" si="76"/>
        <v>12000</v>
      </c>
      <c r="AC30" s="36">
        <v>3.2</v>
      </c>
      <c r="AD30" s="132">
        <v>0.8922000000000001</v>
      </c>
      <c r="AE30" s="132">
        <v>1.0580000000000001</v>
      </c>
      <c r="AF30" s="132">
        <v>0.8922000000000001</v>
      </c>
      <c r="AG30" s="132">
        <v>1.0580000000000001</v>
      </c>
      <c r="AH30" s="126">
        <f t="shared" si="32"/>
        <v>2539200</v>
      </c>
      <c r="AI30" s="36">
        <f t="shared" si="33"/>
        <v>66.915000000000006</v>
      </c>
      <c r="AJ30" s="126">
        <f t="shared" si="13"/>
        <v>11858.327729208697</v>
      </c>
      <c r="AK30" s="126">
        <f t="shared" si="14"/>
        <v>37946.648733467831</v>
      </c>
      <c r="AL30" s="126">
        <f t="shared" si="15"/>
        <v>2645000</v>
      </c>
      <c r="AM30" s="127">
        <f t="shared" si="15"/>
        <v>139.40625000000003</v>
      </c>
      <c r="AN30" s="126">
        <f t="shared" si="15"/>
        <v>5929.1638646043475</v>
      </c>
      <c r="AO30" s="126">
        <f t="shared" si="15"/>
        <v>18973.324366733912</v>
      </c>
      <c r="AP30" s="126">
        <f t="shared" si="15"/>
        <v>2645000</v>
      </c>
      <c r="AQ30" s="127">
        <f t="shared" si="15"/>
        <v>139.40625000000003</v>
      </c>
      <c r="AR30" s="126">
        <f t="shared" si="15"/>
        <v>5929.1638646043475</v>
      </c>
      <c r="AS30" s="126">
        <f t="shared" si="15"/>
        <v>18973.324366733912</v>
      </c>
      <c r="AT30" s="126">
        <f t="shared" si="15"/>
        <v>2645000</v>
      </c>
      <c r="AU30" s="127">
        <f t="shared" si="15"/>
        <v>139.40625000000003</v>
      </c>
      <c r="AV30" s="126">
        <f t="shared" si="15"/>
        <v>5929.1638646043475</v>
      </c>
      <c r="AW30" s="126">
        <f t="shared" si="15"/>
        <v>18973.324366733912</v>
      </c>
      <c r="AY30" s="36">
        <v>3.2</v>
      </c>
      <c r="AZ30" s="126">
        <f t="shared" si="38"/>
        <v>2645000</v>
      </c>
      <c r="BA30" s="36">
        <f t="shared" si="39"/>
        <v>139.40625000000003</v>
      </c>
      <c r="BB30" s="126">
        <f t="shared" si="40"/>
        <v>5929.1638646043475</v>
      </c>
      <c r="BC30" s="126">
        <f t="shared" si="41"/>
        <v>18973.324366733912</v>
      </c>
      <c r="BD30" s="126">
        <f t="shared" si="42"/>
        <v>2645000</v>
      </c>
      <c r="BE30" s="36">
        <f t="shared" si="43"/>
        <v>139.40625000000003</v>
      </c>
      <c r="BF30" s="126">
        <f t="shared" si="34"/>
        <v>5929.1638646043475</v>
      </c>
      <c r="BG30" s="126">
        <f t="shared" si="35"/>
        <v>18973.324366733912</v>
      </c>
      <c r="BH30" s="126">
        <f t="shared" si="44"/>
        <v>2645000</v>
      </c>
      <c r="BI30" s="36">
        <f t="shared" si="45"/>
        <v>139.40625000000003</v>
      </c>
      <c r="BJ30" s="126">
        <f t="shared" si="36"/>
        <v>5929.1638646043475</v>
      </c>
      <c r="BK30" s="126">
        <f t="shared" si="37"/>
        <v>18973.324366733912</v>
      </c>
      <c r="BM30" s="126">
        <f t="shared" si="46"/>
        <v>2645000</v>
      </c>
      <c r="BN30" s="36">
        <f t="shared" si="47"/>
        <v>139.40625000000003</v>
      </c>
      <c r="BO30" s="126">
        <f t="shared" si="48"/>
        <v>5929.1638646043475</v>
      </c>
      <c r="BP30" s="126">
        <f t="shared" si="49"/>
        <v>18973.324366733912</v>
      </c>
      <c r="BQ30" s="126">
        <f t="shared" si="50"/>
        <v>2645000</v>
      </c>
      <c r="BR30" s="36">
        <f t="shared" si="51"/>
        <v>139.40625000000003</v>
      </c>
      <c r="BS30" s="126">
        <f t="shared" si="52"/>
        <v>5929.1638646043475</v>
      </c>
      <c r="BT30" s="126">
        <f t="shared" si="53"/>
        <v>18973.324366733912</v>
      </c>
      <c r="BU30" s="126">
        <f t="shared" si="54"/>
        <v>2645000</v>
      </c>
      <c r="BV30" s="36">
        <f t="shared" si="55"/>
        <v>139.40625000000003</v>
      </c>
      <c r="BW30" s="126">
        <f t="shared" si="56"/>
        <v>5929.1638646043475</v>
      </c>
      <c r="BX30" s="126">
        <f t="shared" si="57"/>
        <v>18973.324366733912</v>
      </c>
      <c r="BZ30" s="141"/>
      <c r="CA30" s="129">
        <v>3.2</v>
      </c>
      <c r="CB30" s="130"/>
      <c r="CC30" s="130"/>
      <c r="CD30" s="141"/>
      <c r="CE30" s="146"/>
      <c r="CF30" s="146"/>
      <c r="CG30" s="77"/>
      <c r="CH30" s="77"/>
      <c r="CI30" s="77"/>
      <c r="CJ30" s="77"/>
      <c r="CK30" s="77"/>
      <c r="CL30" s="77"/>
      <c r="CM30" s="77"/>
      <c r="CN30" s="77"/>
      <c r="CO30" s="77"/>
      <c r="CP30" s="77"/>
      <c r="CQ30" s="77"/>
      <c r="CR30" s="77"/>
      <c r="CS30" s="77"/>
    </row>
    <row r="31" spans="2:98" x14ac:dyDescent="0.2">
      <c r="B31" s="308"/>
      <c r="C31" s="123" t="s">
        <v>44</v>
      </c>
      <c r="D31" s="162">
        <v>100000</v>
      </c>
      <c r="E31" s="163">
        <v>20000</v>
      </c>
      <c r="F31" s="164">
        <f t="shared" si="61"/>
        <v>4000</v>
      </c>
      <c r="G31" s="165" t="str">
        <f t="shared" si="62"/>
        <v>LLP 5</v>
      </c>
      <c r="H31" s="121">
        <f t="shared" si="58"/>
        <v>100000</v>
      </c>
      <c r="I31" s="121">
        <f t="shared" si="63"/>
        <v>-20000</v>
      </c>
      <c r="J31" s="163">
        <f t="shared" si="64"/>
        <v>20000</v>
      </c>
      <c r="K31" s="164">
        <f t="shared" ref="K31:K44" si="77">IF(OR(D31="",E31="",J31=""),"",IF(C31="","",IF(ROUND(J31-$N$10,0)&lt;=0,0,J31-$N$10)))</f>
        <v>12000</v>
      </c>
      <c r="L31" s="165" t="str">
        <f t="shared" si="59"/>
        <v/>
      </c>
      <c r="M31" s="121" t="str">
        <f t="shared" si="60"/>
        <v/>
      </c>
      <c r="N31" s="121" t="str">
        <f t="shared" si="65"/>
        <v/>
      </c>
      <c r="O31" s="163">
        <f t="shared" si="66"/>
        <v>12000</v>
      </c>
      <c r="P31" s="164">
        <f t="shared" si="67"/>
        <v>4000</v>
      </c>
      <c r="Q31" s="123" t="str">
        <f t="shared" si="68"/>
        <v>LLP 5</v>
      </c>
      <c r="R31" s="121">
        <f t="shared" si="69"/>
        <v>100000</v>
      </c>
      <c r="S31" s="121">
        <f t="shared" si="70"/>
        <v>-20000</v>
      </c>
      <c r="T31" s="163">
        <f t="shared" si="71"/>
        <v>20000</v>
      </c>
      <c r="U31" s="217">
        <f t="shared" si="72"/>
        <v>12000</v>
      </c>
      <c r="V31" s="156" t="str">
        <f t="shared" si="73"/>
        <v/>
      </c>
      <c r="W31" s="217" t="str">
        <f t="shared" si="74"/>
        <v/>
      </c>
      <c r="X31" s="217" t="str">
        <f t="shared" si="75"/>
        <v/>
      </c>
      <c r="Y31" s="166">
        <f t="shared" si="76"/>
        <v>12000</v>
      </c>
      <c r="AC31" s="36">
        <v>3.3</v>
      </c>
      <c r="AD31" s="132">
        <v>0.88680000000000014</v>
      </c>
      <c r="AE31" s="132">
        <v>1.0620000000000001</v>
      </c>
      <c r="AF31" s="132">
        <v>0.88680000000000014</v>
      </c>
      <c r="AG31" s="132">
        <v>1.0620000000000001</v>
      </c>
      <c r="AH31" s="126">
        <f t="shared" si="32"/>
        <v>2548800</v>
      </c>
      <c r="AI31" s="36">
        <f t="shared" si="33"/>
        <v>66.510000000000005</v>
      </c>
      <c r="AJ31" s="126">
        <f t="shared" si="13"/>
        <v>11612.744495017838</v>
      </c>
      <c r="AK31" s="126">
        <f t="shared" si="14"/>
        <v>38322.056833558861</v>
      </c>
      <c r="AL31" s="126">
        <f t="shared" si="15"/>
        <v>2655000</v>
      </c>
      <c r="AM31" s="127">
        <f t="shared" si="15"/>
        <v>138.56250000000003</v>
      </c>
      <c r="AN31" s="126">
        <f t="shared" si="15"/>
        <v>5806.372247508918</v>
      </c>
      <c r="AO31" s="126">
        <f t="shared" si="15"/>
        <v>19161.028416779427</v>
      </c>
      <c r="AP31" s="126">
        <f t="shared" si="15"/>
        <v>2655000</v>
      </c>
      <c r="AQ31" s="127">
        <f t="shared" si="15"/>
        <v>138.56250000000003</v>
      </c>
      <c r="AR31" s="126">
        <f t="shared" si="15"/>
        <v>5806.372247508918</v>
      </c>
      <c r="AS31" s="126">
        <f t="shared" si="15"/>
        <v>19161.028416779427</v>
      </c>
      <c r="AT31" s="126">
        <f t="shared" si="15"/>
        <v>2655000</v>
      </c>
      <c r="AU31" s="127">
        <f t="shared" si="15"/>
        <v>138.56250000000003</v>
      </c>
      <c r="AV31" s="126">
        <f t="shared" si="15"/>
        <v>5806.372247508918</v>
      </c>
      <c r="AW31" s="126">
        <f t="shared" si="15"/>
        <v>19161.028416779427</v>
      </c>
      <c r="AY31" s="36">
        <v>3.3</v>
      </c>
      <c r="AZ31" s="126">
        <f t="shared" si="38"/>
        <v>2655000</v>
      </c>
      <c r="BA31" s="36">
        <f t="shared" si="39"/>
        <v>138.56250000000003</v>
      </c>
      <c r="BB31" s="126">
        <f t="shared" si="40"/>
        <v>5806.372247508918</v>
      </c>
      <c r="BC31" s="126">
        <f t="shared" si="41"/>
        <v>19161.028416779427</v>
      </c>
      <c r="BD31" s="126">
        <f t="shared" si="42"/>
        <v>2655000</v>
      </c>
      <c r="BE31" s="36">
        <f t="shared" si="43"/>
        <v>138.56250000000003</v>
      </c>
      <c r="BF31" s="126">
        <f t="shared" si="34"/>
        <v>5806.372247508918</v>
      </c>
      <c r="BG31" s="126">
        <f t="shared" si="35"/>
        <v>19161.028416779427</v>
      </c>
      <c r="BH31" s="126">
        <f t="shared" si="44"/>
        <v>2655000</v>
      </c>
      <c r="BI31" s="36">
        <f t="shared" si="45"/>
        <v>138.56250000000003</v>
      </c>
      <c r="BJ31" s="126">
        <f t="shared" si="36"/>
        <v>5806.372247508918</v>
      </c>
      <c r="BK31" s="126">
        <f t="shared" si="37"/>
        <v>19161.028416779427</v>
      </c>
      <c r="BM31" s="126">
        <f t="shared" si="46"/>
        <v>2655000</v>
      </c>
      <c r="BN31" s="36">
        <f t="shared" si="47"/>
        <v>138.56250000000003</v>
      </c>
      <c r="BO31" s="126">
        <f t="shared" si="48"/>
        <v>5806.372247508918</v>
      </c>
      <c r="BP31" s="126">
        <f t="shared" si="49"/>
        <v>19161.028416779427</v>
      </c>
      <c r="BQ31" s="126">
        <f t="shared" si="50"/>
        <v>2655000</v>
      </c>
      <c r="BR31" s="36">
        <f t="shared" si="51"/>
        <v>138.56250000000003</v>
      </c>
      <c r="BS31" s="126">
        <f t="shared" si="52"/>
        <v>5806.372247508918</v>
      </c>
      <c r="BT31" s="126">
        <f t="shared" si="53"/>
        <v>19161.028416779427</v>
      </c>
      <c r="BU31" s="126">
        <f t="shared" si="54"/>
        <v>2655000</v>
      </c>
      <c r="BV31" s="36">
        <f t="shared" si="55"/>
        <v>138.56250000000003</v>
      </c>
      <c r="BW31" s="126">
        <f t="shared" si="56"/>
        <v>5806.372247508918</v>
      </c>
      <c r="BX31" s="126">
        <f t="shared" si="57"/>
        <v>19161.028416779427</v>
      </c>
      <c r="BZ31" s="141"/>
      <c r="CA31" s="129">
        <v>3.3</v>
      </c>
      <c r="CB31" s="130"/>
      <c r="CC31" s="130"/>
      <c r="CD31" s="141"/>
      <c r="CE31" s="146"/>
      <c r="CF31" s="146"/>
      <c r="CG31" s="77"/>
      <c r="CH31" s="77"/>
      <c r="CI31" s="77"/>
      <c r="CJ31" s="77"/>
      <c r="CK31" s="77"/>
      <c r="CL31" s="77"/>
      <c r="CM31" s="77"/>
      <c r="CN31" s="77"/>
      <c r="CO31" s="77"/>
      <c r="CP31" s="77"/>
      <c r="CQ31" s="77"/>
      <c r="CR31" s="77"/>
      <c r="CS31" s="77"/>
    </row>
    <row r="32" spans="2:98" x14ac:dyDescent="0.2">
      <c r="B32" s="308"/>
      <c r="C32" s="123" t="s">
        <v>45</v>
      </c>
      <c r="D32" s="162">
        <v>100000</v>
      </c>
      <c r="E32" s="163">
        <v>20000</v>
      </c>
      <c r="F32" s="164">
        <f t="shared" si="61"/>
        <v>4000</v>
      </c>
      <c r="G32" s="165" t="str">
        <f t="shared" si="62"/>
        <v>LLP 6</v>
      </c>
      <c r="H32" s="121">
        <f t="shared" si="58"/>
        <v>100000</v>
      </c>
      <c r="I32" s="121">
        <f t="shared" si="63"/>
        <v>-20000</v>
      </c>
      <c r="J32" s="163">
        <f t="shared" si="64"/>
        <v>20000</v>
      </c>
      <c r="K32" s="164">
        <f t="shared" si="77"/>
        <v>12000</v>
      </c>
      <c r="L32" s="165" t="str">
        <f t="shared" si="59"/>
        <v/>
      </c>
      <c r="M32" s="121" t="str">
        <f t="shared" si="60"/>
        <v/>
      </c>
      <c r="N32" s="121" t="str">
        <f t="shared" si="65"/>
        <v/>
      </c>
      <c r="O32" s="163">
        <f t="shared" si="66"/>
        <v>12000</v>
      </c>
      <c r="P32" s="164">
        <f t="shared" si="67"/>
        <v>4000</v>
      </c>
      <c r="Q32" s="123" t="str">
        <f t="shared" si="68"/>
        <v>LLP 6</v>
      </c>
      <c r="R32" s="121">
        <f t="shared" si="69"/>
        <v>100000</v>
      </c>
      <c r="S32" s="121">
        <f t="shared" si="70"/>
        <v>-20000</v>
      </c>
      <c r="T32" s="163">
        <f t="shared" si="71"/>
        <v>20000</v>
      </c>
      <c r="U32" s="217">
        <f t="shared" si="72"/>
        <v>12000</v>
      </c>
      <c r="V32" s="156" t="str">
        <f t="shared" si="73"/>
        <v/>
      </c>
      <c r="W32" s="217" t="str">
        <f t="shared" si="74"/>
        <v/>
      </c>
      <c r="X32" s="217" t="str">
        <f t="shared" si="75"/>
        <v/>
      </c>
      <c r="Y32" s="166">
        <f t="shared" si="76"/>
        <v>12000</v>
      </c>
      <c r="AC32" s="36">
        <v>3.4</v>
      </c>
      <c r="AD32" s="132">
        <v>0.88140000000000018</v>
      </c>
      <c r="AE32" s="132">
        <v>1.0660000000000001</v>
      </c>
      <c r="AF32" s="132">
        <v>0.88140000000000018</v>
      </c>
      <c r="AG32" s="132">
        <v>1.0660000000000001</v>
      </c>
      <c r="AH32" s="126">
        <f t="shared" si="32"/>
        <v>2558400</v>
      </c>
      <c r="AI32" s="36">
        <f t="shared" si="33"/>
        <v>66.105000000000018</v>
      </c>
      <c r="AJ32" s="126">
        <f t="shared" si="13"/>
        <v>11382.960263751516</v>
      </c>
      <c r="AK32" s="126">
        <f t="shared" si="14"/>
        <v>38702.064896755153</v>
      </c>
      <c r="AL32" s="126">
        <f t="shared" si="15"/>
        <v>2665000</v>
      </c>
      <c r="AM32" s="127">
        <f t="shared" si="15"/>
        <v>137.71875000000003</v>
      </c>
      <c r="AN32" s="126">
        <f t="shared" si="15"/>
        <v>5691.4801318757582</v>
      </c>
      <c r="AO32" s="126">
        <f t="shared" si="15"/>
        <v>19351.032448377577</v>
      </c>
      <c r="AP32" s="126">
        <f t="shared" si="15"/>
        <v>2665000</v>
      </c>
      <c r="AQ32" s="127">
        <f t="shared" si="15"/>
        <v>137.71875000000003</v>
      </c>
      <c r="AR32" s="126">
        <f t="shared" si="15"/>
        <v>5691.4801318757582</v>
      </c>
      <c r="AS32" s="126">
        <f t="shared" si="15"/>
        <v>19351.032448377577</v>
      </c>
      <c r="AT32" s="126">
        <f t="shared" si="15"/>
        <v>2665000</v>
      </c>
      <c r="AU32" s="127">
        <f t="shared" si="15"/>
        <v>137.71875000000003</v>
      </c>
      <c r="AV32" s="126">
        <f t="shared" si="15"/>
        <v>5691.4801318757582</v>
      </c>
      <c r="AW32" s="126">
        <f t="shared" si="15"/>
        <v>19351.032448377577</v>
      </c>
      <c r="AY32" s="36">
        <v>3.4</v>
      </c>
      <c r="AZ32" s="126">
        <f t="shared" si="38"/>
        <v>2665000</v>
      </c>
      <c r="BA32" s="36">
        <f t="shared" si="39"/>
        <v>137.71875000000003</v>
      </c>
      <c r="BB32" s="126">
        <f t="shared" si="40"/>
        <v>5691.4801318757582</v>
      </c>
      <c r="BC32" s="126">
        <f t="shared" si="41"/>
        <v>19351.032448377577</v>
      </c>
      <c r="BD32" s="126">
        <f t="shared" si="42"/>
        <v>2665000</v>
      </c>
      <c r="BE32" s="36">
        <f t="shared" si="43"/>
        <v>137.71875000000003</v>
      </c>
      <c r="BF32" s="126">
        <f t="shared" si="34"/>
        <v>5691.4801318757582</v>
      </c>
      <c r="BG32" s="126">
        <f t="shared" si="35"/>
        <v>19351.032448377577</v>
      </c>
      <c r="BH32" s="126">
        <f t="shared" si="44"/>
        <v>2665000</v>
      </c>
      <c r="BI32" s="36">
        <f t="shared" si="45"/>
        <v>137.71875000000003</v>
      </c>
      <c r="BJ32" s="126">
        <f t="shared" si="36"/>
        <v>5691.4801318757582</v>
      </c>
      <c r="BK32" s="126">
        <f t="shared" si="37"/>
        <v>19351.032448377577</v>
      </c>
      <c r="BM32" s="126">
        <f t="shared" si="46"/>
        <v>2665000</v>
      </c>
      <c r="BN32" s="36">
        <f t="shared" si="47"/>
        <v>137.71875000000003</v>
      </c>
      <c r="BO32" s="126">
        <f t="shared" si="48"/>
        <v>5691.4801318757582</v>
      </c>
      <c r="BP32" s="126">
        <f t="shared" si="49"/>
        <v>19351.032448377577</v>
      </c>
      <c r="BQ32" s="126">
        <f t="shared" si="50"/>
        <v>2665000</v>
      </c>
      <c r="BR32" s="36">
        <f t="shared" si="51"/>
        <v>137.71875000000003</v>
      </c>
      <c r="BS32" s="126">
        <f t="shared" si="52"/>
        <v>5691.4801318757582</v>
      </c>
      <c r="BT32" s="126">
        <f t="shared" si="53"/>
        <v>19351.032448377577</v>
      </c>
      <c r="BU32" s="126">
        <f t="shared" si="54"/>
        <v>2665000</v>
      </c>
      <c r="BV32" s="36">
        <f t="shared" si="55"/>
        <v>137.71875000000003</v>
      </c>
      <c r="BW32" s="126">
        <f t="shared" si="56"/>
        <v>5691.4801318757582</v>
      </c>
      <c r="BX32" s="126">
        <f t="shared" si="57"/>
        <v>19351.032448377577</v>
      </c>
      <c r="BZ32" s="141"/>
      <c r="CA32" s="129">
        <v>3.4</v>
      </c>
      <c r="CB32" s="130"/>
      <c r="CC32" s="130"/>
      <c r="CD32" s="141"/>
      <c r="CE32" s="146"/>
      <c r="CF32" s="146"/>
      <c r="CG32" s="77"/>
      <c r="CH32" s="77"/>
      <c r="CI32" s="77"/>
      <c r="CJ32" s="77"/>
      <c r="CK32" s="77"/>
      <c r="CL32" s="77"/>
      <c r="CM32" s="77"/>
      <c r="CN32" s="77"/>
      <c r="CO32" s="77"/>
      <c r="CP32" s="77"/>
      <c r="CQ32" s="77"/>
      <c r="CR32" s="77"/>
      <c r="CS32" s="77"/>
    </row>
    <row r="33" spans="2:97" x14ac:dyDescent="0.2">
      <c r="B33" s="308"/>
      <c r="C33" s="123" t="s">
        <v>47</v>
      </c>
      <c r="D33" s="162">
        <v>100000</v>
      </c>
      <c r="E33" s="163">
        <v>20000</v>
      </c>
      <c r="F33" s="164">
        <f t="shared" si="61"/>
        <v>4000</v>
      </c>
      <c r="G33" s="165" t="str">
        <f t="shared" si="62"/>
        <v>LLP 7</v>
      </c>
      <c r="H33" s="121">
        <f t="shared" si="58"/>
        <v>100000</v>
      </c>
      <c r="I33" s="121">
        <f t="shared" si="63"/>
        <v>-20000</v>
      </c>
      <c r="J33" s="163">
        <f t="shared" si="64"/>
        <v>20000</v>
      </c>
      <c r="K33" s="164">
        <f t="shared" si="77"/>
        <v>12000</v>
      </c>
      <c r="L33" s="165" t="str">
        <f t="shared" si="59"/>
        <v/>
      </c>
      <c r="M33" s="121" t="str">
        <f t="shared" si="60"/>
        <v/>
      </c>
      <c r="N33" s="121" t="str">
        <f t="shared" si="65"/>
        <v/>
      </c>
      <c r="O33" s="163">
        <f t="shared" si="66"/>
        <v>12000</v>
      </c>
      <c r="P33" s="164">
        <f t="shared" si="67"/>
        <v>4000</v>
      </c>
      <c r="Q33" s="123" t="str">
        <f t="shared" si="68"/>
        <v>LLP 7</v>
      </c>
      <c r="R33" s="121">
        <f t="shared" si="69"/>
        <v>100000</v>
      </c>
      <c r="S33" s="121">
        <f t="shared" si="70"/>
        <v>-20000</v>
      </c>
      <c r="T33" s="163">
        <f t="shared" si="71"/>
        <v>20000</v>
      </c>
      <c r="U33" s="217">
        <f t="shared" si="72"/>
        <v>12000</v>
      </c>
      <c r="V33" s="156" t="str">
        <f t="shared" si="73"/>
        <v/>
      </c>
      <c r="W33" s="217" t="str">
        <f t="shared" si="74"/>
        <v/>
      </c>
      <c r="X33" s="217" t="str">
        <f t="shared" si="75"/>
        <v/>
      </c>
      <c r="Y33" s="166">
        <f t="shared" si="76"/>
        <v>12000</v>
      </c>
      <c r="AC33" s="54">
        <v>3.5</v>
      </c>
      <c r="AD33" s="124">
        <v>0.876</v>
      </c>
      <c r="AE33" s="124">
        <v>1.07</v>
      </c>
      <c r="AF33" s="124">
        <v>0.876</v>
      </c>
      <c r="AG33" s="124">
        <v>1.07</v>
      </c>
      <c r="AH33" s="125">
        <f t="shared" si="32"/>
        <v>2568000</v>
      </c>
      <c r="AI33" s="54">
        <f t="shared" si="33"/>
        <v>65.7</v>
      </c>
      <c r="AJ33" s="125">
        <f t="shared" si="13"/>
        <v>11167.64514024788</v>
      </c>
      <c r="AK33" s="125">
        <f t="shared" si="14"/>
        <v>39086.757990867576</v>
      </c>
      <c r="AL33" s="126">
        <f t="shared" si="15"/>
        <v>2675000</v>
      </c>
      <c r="AM33" s="127">
        <f t="shared" si="15"/>
        <v>136.875</v>
      </c>
      <c r="AN33" s="126">
        <f t="shared" si="15"/>
        <v>5583.8225701239407</v>
      </c>
      <c r="AO33" s="126">
        <f t="shared" si="15"/>
        <v>19543.378995433792</v>
      </c>
      <c r="AP33" s="126">
        <f t="shared" si="15"/>
        <v>2675000</v>
      </c>
      <c r="AQ33" s="127">
        <f t="shared" si="15"/>
        <v>136.875</v>
      </c>
      <c r="AR33" s="126">
        <f t="shared" si="15"/>
        <v>5583.8225701239407</v>
      </c>
      <c r="AS33" s="126">
        <f t="shared" si="15"/>
        <v>19543.378995433792</v>
      </c>
      <c r="AT33" s="126">
        <f t="shared" si="15"/>
        <v>2675000</v>
      </c>
      <c r="AU33" s="127">
        <f t="shared" si="15"/>
        <v>136.875</v>
      </c>
      <c r="AV33" s="126">
        <f t="shared" si="15"/>
        <v>5583.8225701239407</v>
      </c>
      <c r="AW33" s="126">
        <f t="shared" si="15"/>
        <v>19543.378995433792</v>
      </c>
      <c r="AY33" s="36">
        <v>3.5</v>
      </c>
      <c r="AZ33" s="126">
        <f t="shared" si="38"/>
        <v>2675000</v>
      </c>
      <c r="BA33" s="36">
        <f t="shared" si="39"/>
        <v>136.875</v>
      </c>
      <c r="BB33" s="126">
        <f t="shared" si="40"/>
        <v>5583.8225701239407</v>
      </c>
      <c r="BC33" s="126">
        <f t="shared" si="41"/>
        <v>19543.378995433792</v>
      </c>
      <c r="BD33" s="126">
        <f t="shared" si="42"/>
        <v>2675000</v>
      </c>
      <c r="BE33" s="36">
        <f t="shared" si="43"/>
        <v>136.875</v>
      </c>
      <c r="BF33" s="126">
        <f t="shared" si="34"/>
        <v>5583.8225701239407</v>
      </c>
      <c r="BG33" s="126">
        <f t="shared" si="35"/>
        <v>19543.378995433792</v>
      </c>
      <c r="BH33" s="126">
        <f t="shared" si="44"/>
        <v>2675000</v>
      </c>
      <c r="BI33" s="36">
        <f t="shared" si="45"/>
        <v>136.875</v>
      </c>
      <c r="BJ33" s="126">
        <f t="shared" si="36"/>
        <v>5583.8225701239407</v>
      </c>
      <c r="BK33" s="126">
        <f t="shared" si="37"/>
        <v>19543.378995433792</v>
      </c>
      <c r="BM33" s="126">
        <f t="shared" si="46"/>
        <v>2675000</v>
      </c>
      <c r="BN33" s="36">
        <f t="shared" si="47"/>
        <v>136.875</v>
      </c>
      <c r="BO33" s="126">
        <f t="shared" si="48"/>
        <v>5583.8225701239407</v>
      </c>
      <c r="BP33" s="126">
        <f t="shared" si="49"/>
        <v>19543.378995433792</v>
      </c>
      <c r="BQ33" s="126">
        <f t="shared" si="50"/>
        <v>2675000</v>
      </c>
      <c r="BR33" s="36">
        <f t="shared" si="51"/>
        <v>136.875</v>
      </c>
      <c r="BS33" s="126">
        <f t="shared" si="52"/>
        <v>5583.8225701239407</v>
      </c>
      <c r="BT33" s="126">
        <f t="shared" si="53"/>
        <v>19543.378995433792</v>
      </c>
      <c r="BU33" s="126">
        <f t="shared" si="54"/>
        <v>2675000</v>
      </c>
      <c r="BV33" s="36">
        <f t="shared" si="55"/>
        <v>136.875</v>
      </c>
      <c r="BW33" s="126">
        <f t="shared" si="56"/>
        <v>5583.8225701239407</v>
      </c>
      <c r="BX33" s="126">
        <f t="shared" si="57"/>
        <v>19543.378995433792</v>
      </c>
      <c r="BZ33" s="141"/>
      <c r="CA33" s="129">
        <v>3.5</v>
      </c>
      <c r="CB33" s="130"/>
      <c r="CC33" s="130"/>
      <c r="CD33" s="141"/>
      <c r="CE33" s="146"/>
      <c r="CF33" s="146"/>
      <c r="CG33" s="77"/>
      <c r="CH33" s="77"/>
      <c r="CI33" s="77"/>
      <c r="CJ33" s="77"/>
      <c r="CK33" s="77"/>
      <c r="CL33" s="77"/>
      <c r="CM33" s="77"/>
      <c r="CN33" s="77"/>
      <c r="CO33" s="77"/>
      <c r="CP33" s="77"/>
      <c r="CQ33" s="77"/>
      <c r="CR33" s="77"/>
      <c r="CS33" s="77"/>
    </row>
    <row r="34" spans="2:97" x14ac:dyDescent="0.2">
      <c r="B34" s="309"/>
      <c r="C34" s="167" t="s">
        <v>48</v>
      </c>
      <c r="D34" s="168">
        <v>100000</v>
      </c>
      <c r="E34" s="169">
        <v>20000</v>
      </c>
      <c r="F34" s="170">
        <f t="shared" si="61"/>
        <v>4000</v>
      </c>
      <c r="G34" s="171" t="str">
        <f t="shared" si="62"/>
        <v>LLP 8</v>
      </c>
      <c r="H34" s="169">
        <f t="shared" si="58"/>
        <v>100000</v>
      </c>
      <c r="I34" s="169">
        <f t="shared" si="63"/>
        <v>-20000</v>
      </c>
      <c r="J34" s="172">
        <f t="shared" si="64"/>
        <v>20000</v>
      </c>
      <c r="K34" s="170">
        <f t="shared" si="77"/>
        <v>12000</v>
      </c>
      <c r="L34" s="171" t="str">
        <f t="shared" si="59"/>
        <v/>
      </c>
      <c r="M34" s="169" t="str">
        <f t="shared" si="60"/>
        <v/>
      </c>
      <c r="N34" s="169" t="str">
        <f t="shared" si="65"/>
        <v/>
      </c>
      <c r="O34" s="172">
        <f t="shared" si="66"/>
        <v>12000</v>
      </c>
      <c r="P34" s="170">
        <f t="shared" si="67"/>
        <v>4000</v>
      </c>
      <c r="Q34" s="167" t="str">
        <f t="shared" si="68"/>
        <v>LLP 8</v>
      </c>
      <c r="R34" s="169">
        <f t="shared" si="69"/>
        <v>100000</v>
      </c>
      <c r="S34" s="169">
        <f t="shared" si="70"/>
        <v>-20000</v>
      </c>
      <c r="T34" s="172">
        <f t="shared" si="71"/>
        <v>20000</v>
      </c>
      <c r="U34" s="173">
        <f t="shared" si="72"/>
        <v>12000</v>
      </c>
      <c r="V34" s="174" t="str">
        <f t="shared" si="73"/>
        <v/>
      </c>
      <c r="W34" s="173" t="str">
        <f t="shared" si="74"/>
        <v/>
      </c>
      <c r="X34" s="173" t="str">
        <f t="shared" si="75"/>
        <v/>
      </c>
      <c r="Y34" s="175">
        <f t="shared" si="76"/>
        <v>12000</v>
      </c>
      <c r="AC34" s="36">
        <v>3.6</v>
      </c>
      <c r="AD34" s="132">
        <v>0.87280000000000002</v>
      </c>
      <c r="AE34" s="132">
        <v>1.071</v>
      </c>
      <c r="AF34" s="132">
        <v>0.87280000000000002</v>
      </c>
      <c r="AG34" s="132">
        <v>1.071</v>
      </c>
      <c r="AH34" s="126">
        <f t="shared" si="32"/>
        <v>2570400</v>
      </c>
      <c r="AI34" s="36">
        <f t="shared" si="33"/>
        <v>65.460000000000008</v>
      </c>
      <c r="AJ34" s="126">
        <f t="shared" si="13"/>
        <v>10907.424381301556</v>
      </c>
      <c r="AK34" s="126">
        <f t="shared" si="14"/>
        <v>39266.727772685605</v>
      </c>
      <c r="AL34" s="126">
        <f t="shared" si="15"/>
        <v>2677500</v>
      </c>
      <c r="AM34" s="127">
        <f t="shared" si="15"/>
        <v>136.375</v>
      </c>
      <c r="AN34" s="126">
        <f t="shared" si="15"/>
        <v>5453.7121906507791</v>
      </c>
      <c r="AO34" s="126">
        <f t="shared" si="15"/>
        <v>19633.363886342806</v>
      </c>
      <c r="AP34" s="126">
        <f t="shared" si="15"/>
        <v>2677500</v>
      </c>
      <c r="AQ34" s="127">
        <f t="shared" si="15"/>
        <v>136.375</v>
      </c>
      <c r="AR34" s="126">
        <f t="shared" si="15"/>
        <v>5453.7121906507791</v>
      </c>
      <c r="AS34" s="126">
        <f t="shared" si="15"/>
        <v>19633.363886342806</v>
      </c>
      <c r="AT34" s="126">
        <f t="shared" si="15"/>
        <v>2677500</v>
      </c>
      <c r="AU34" s="127">
        <f t="shared" si="15"/>
        <v>136.375</v>
      </c>
      <c r="AV34" s="126">
        <f t="shared" si="15"/>
        <v>5453.7121906507791</v>
      </c>
      <c r="AW34" s="126">
        <f t="shared" si="15"/>
        <v>19633.363886342806</v>
      </c>
      <c r="AY34" s="36">
        <v>3.6</v>
      </c>
      <c r="AZ34" s="126">
        <f t="shared" si="38"/>
        <v>2677500</v>
      </c>
      <c r="BA34" s="36">
        <f t="shared" si="39"/>
        <v>136.375</v>
      </c>
      <c r="BB34" s="126">
        <f t="shared" si="40"/>
        <v>5453.7121906507791</v>
      </c>
      <c r="BC34" s="126">
        <f t="shared" si="41"/>
        <v>19633.363886342806</v>
      </c>
      <c r="BD34" s="126">
        <f t="shared" si="42"/>
        <v>2677500</v>
      </c>
      <c r="BE34" s="36">
        <f t="shared" si="43"/>
        <v>136.375</v>
      </c>
      <c r="BF34" s="126">
        <f t="shared" si="34"/>
        <v>5453.7121906507791</v>
      </c>
      <c r="BG34" s="126">
        <f t="shared" si="35"/>
        <v>19633.363886342806</v>
      </c>
      <c r="BH34" s="126">
        <f t="shared" si="44"/>
        <v>2677500</v>
      </c>
      <c r="BI34" s="36">
        <f t="shared" si="45"/>
        <v>136.375</v>
      </c>
      <c r="BJ34" s="126">
        <f t="shared" si="36"/>
        <v>5453.7121906507791</v>
      </c>
      <c r="BK34" s="126">
        <f t="shared" si="37"/>
        <v>19633.363886342806</v>
      </c>
      <c r="BM34" s="126">
        <f t="shared" si="46"/>
        <v>2677500</v>
      </c>
      <c r="BN34" s="36">
        <f t="shared" si="47"/>
        <v>136.375</v>
      </c>
      <c r="BO34" s="126">
        <f t="shared" si="48"/>
        <v>5453.7121906507791</v>
      </c>
      <c r="BP34" s="126">
        <f t="shared" si="49"/>
        <v>19633.363886342806</v>
      </c>
      <c r="BQ34" s="126">
        <f t="shared" si="50"/>
        <v>2677500</v>
      </c>
      <c r="BR34" s="36">
        <f t="shared" si="51"/>
        <v>136.375</v>
      </c>
      <c r="BS34" s="126">
        <f t="shared" si="52"/>
        <v>5453.7121906507791</v>
      </c>
      <c r="BT34" s="126">
        <f t="shared" si="53"/>
        <v>19633.363886342806</v>
      </c>
      <c r="BU34" s="126">
        <f t="shared" si="54"/>
        <v>2677500</v>
      </c>
      <c r="BV34" s="36">
        <f t="shared" si="55"/>
        <v>136.375</v>
      </c>
      <c r="BW34" s="126">
        <f t="shared" si="56"/>
        <v>5453.7121906507791</v>
      </c>
      <c r="BX34" s="126">
        <f t="shared" si="57"/>
        <v>19633.363886342806</v>
      </c>
      <c r="BZ34" s="141"/>
      <c r="CA34" s="129">
        <v>3.6</v>
      </c>
      <c r="CB34" s="141"/>
      <c r="CC34" s="141"/>
      <c r="CD34" s="141"/>
      <c r="CE34" s="146"/>
      <c r="CF34" s="146"/>
      <c r="CG34" s="77"/>
      <c r="CH34" s="77"/>
      <c r="CI34" s="77"/>
      <c r="CJ34" s="77"/>
      <c r="CK34" s="77"/>
      <c r="CL34" s="77"/>
      <c r="CM34" s="77"/>
      <c r="CN34" s="77"/>
      <c r="CO34" s="77"/>
      <c r="CP34" s="77"/>
      <c r="CQ34" s="77"/>
      <c r="CR34" s="77"/>
      <c r="CS34" s="77"/>
    </row>
    <row r="35" spans="2:97" x14ac:dyDescent="0.2">
      <c r="B35" s="310" t="s">
        <v>128</v>
      </c>
      <c r="C35" s="123" t="s">
        <v>129</v>
      </c>
      <c r="D35" s="162">
        <v>200000</v>
      </c>
      <c r="E35" s="163">
        <v>20000</v>
      </c>
      <c r="F35" s="164">
        <f t="shared" si="61"/>
        <v>4000</v>
      </c>
      <c r="G35" s="165" t="str">
        <f t="shared" si="62"/>
        <v xml:space="preserve"> LLP 9</v>
      </c>
      <c r="H35" s="121">
        <f t="shared" si="58"/>
        <v>200000</v>
      </c>
      <c r="I35" s="121">
        <f t="shared" si="63"/>
        <v>-40000</v>
      </c>
      <c r="J35" s="163">
        <f t="shared" si="64"/>
        <v>20000</v>
      </c>
      <c r="K35" s="164">
        <f t="shared" si="77"/>
        <v>12000</v>
      </c>
      <c r="L35" s="165" t="str">
        <f t="shared" si="59"/>
        <v/>
      </c>
      <c r="M35" s="121" t="str">
        <f t="shared" si="60"/>
        <v/>
      </c>
      <c r="N35" s="121" t="str">
        <f t="shared" si="65"/>
        <v/>
      </c>
      <c r="O35" s="163">
        <f t="shared" si="66"/>
        <v>12000</v>
      </c>
      <c r="P35" s="164">
        <f t="shared" si="67"/>
        <v>4000</v>
      </c>
      <c r="Q35" s="123" t="str">
        <f t="shared" si="68"/>
        <v xml:space="preserve"> LLP 9</v>
      </c>
      <c r="R35" s="121">
        <f t="shared" si="69"/>
        <v>200000</v>
      </c>
      <c r="S35" s="121">
        <f t="shared" si="70"/>
        <v>-40000</v>
      </c>
      <c r="T35" s="163">
        <f t="shared" si="71"/>
        <v>20000</v>
      </c>
      <c r="U35" s="217">
        <f t="shared" si="72"/>
        <v>12000</v>
      </c>
      <c r="V35" s="156" t="str">
        <f t="shared" si="73"/>
        <v/>
      </c>
      <c r="W35" s="217" t="str">
        <f t="shared" si="74"/>
        <v/>
      </c>
      <c r="X35" s="217" t="str">
        <f t="shared" si="75"/>
        <v/>
      </c>
      <c r="Y35" s="166">
        <f t="shared" si="76"/>
        <v>12000</v>
      </c>
      <c r="AC35" s="36">
        <v>3.7</v>
      </c>
      <c r="AD35" s="132">
        <v>0.86960000000000004</v>
      </c>
      <c r="AE35" s="132">
        <v>1.0719999999999998</v>
      </c>
      <c r="AF35" s="132">
        <v>0.86960000000000004</v>
      </c>
      <c r="AG35" s="132">
        <v>1.0719999999999998</v>
      </c>
      <c r="AH35" s="126">
        <f t="shared" si="32"/>
        <v>2572799.9999999995</v>
      </c>
      <c r="AI35" s="36">
        <f t="shared" si="33"/>
        <v>65.22</v>
      </c>
      <c r="AJ35" s="126">
        <f t="shared" si="13"/>
        <v>10661.627588950494</v>
      </c>
      <c r="AK35" s="126">
        <f t="shared" si="14"/>
        <v>39448.022079116832</v>
      </c>
      <c r="AL35" s="126">
        <f t="shared" si="15"/>
        <v>2679999.9999999995</v>
      </c>
      <c r="AM35" s="127">
        <f t="shared" si="15"/>
        <v>135.875</v>
      </c>
      <c r="AN35" s="126">
        <f t="shared" si="15"/>
        <v>5330.8137944752461</v>
      </c>
      <c r="AO35" s="126">
        <f t="shared" si="15"/>
        <v>19724.011039558412</v>
      </c>
      <c r="AP35" s="126">
        <f t="shared" si="15"/>
        <v>2679999.9999999995</v>
      </c>
      <c r="AQ35" s="127">
        <f t="shared" si="15"/>
        <v>135.875</v>
      </c>
      <c r="AR35" s="126">
        <f t="shared" si="15"/>
        <v>5330.8137944752461</v>
      </c>
      <c r="AS35" s="126">
        <f t="shared" si="15"/>
        <v>19724.011039558412</v>
      </c>
      <c r="AT35" s="126">
        <f t="shared" si="15"/>
        <v>2679999.9999999995</v>
      </c>
      <c r="AU35" s="127">
        <f t="shared" si="15"/>
        <v>135.875</v>
      </c>
      <c r="AV35" s="126">
        <f t="shared" si="15"/>
        <v>5330.8137944752461</v>
      </c>
      <c r="AW35" s="126">
        <f t="shared" si="15"/>
        <v>19724.011039558412</v>
      </c>
      <c r="AY35" s="36">
        <v>3.7</v>
      </c>
      <c r="AZ35" s="126">
        <f t="shared" si="38"/>
        <v>2679999.9999999995</v>
      </c>
      <c r="BA35" s="36">
        <f t="shared" si="39"/>
        <v>135.875</v>
      </c>
      <c r="BB35" s="126">
        <f t="shared" si="40"/>
        <v>5330.8137944752461</v>
      </c>
      <c r="BC35" s="126">
        <f t="shared" si="41"/>
        <v>19724.011039558412</v>
      </c>
      <c r="BD35" s="126">
        <f t="shared" si="42"/>
        <v>2679999.9999999995</v>
      </c>
      <c r="BE35" s="36">
        <f t="shared" si="43"/>
        <v>135.875</v>
      </c>
      <c r="BF35" s="126">
        <f t="shared" si="34"/>
        <v>5330.8137944752461</v>
      </c>
      <c r="BG35" s="126">
        <f t="shared" si="35"/>
        <v>19724.011039558412</v>
      </c>
      <c r="BH35" s="126">
        <f t="shared" si="44"/>
        <v>2679999.9999999995</v>
      </c>
      <c r="BI35" s="36">
        <f t="shared" si="45"/>
        <v>135.875</v>
      </c>
      <c r="BJ35" s="126">
        <f t="shared" si="36"/>
        <v>5330.8137944752461</v>
      </c>
      <c r="BK35" s="126">
        <f t="shared" si="37"/>
        <v>19724.011039558412</v>
      </c>
      <c r="BM35" s="126">
        <f t="shared" si="46"/>
        <v>2679999.9999999995</v>
      </c>
      <c r="BN35" s="36">
        <f t="shared" si="47"/>
        <v>135.875</v>
      </c>
      <c r="BO35" s="126">
        <f t="shared" si="48"/>
        <v>5330.8137944752461</v>
      </c>
      <c r="BP35" s="126">
        <f t="shared" si="49"/>
        <v>19724.011039558412</v>
      </c>
      <c r="BQ35" s="126">
        <f t="shared" si="50"/>
        <v>2679999.9999999995</v>
      </c>
      <c r="BR35" s="36">
        <f t="shared" si="51"/>
        <v>135.875</v>
      </c>
      <c r="BS35" s="126">
        <f t="shared" si="52"/>
        <v>5330.8137944752461</v>
      </c>
      <c r="BT35" s="126">
        <f t="shared" si="53"/>
        <v>19724.011039558412</v>
      </c>
      <c r="BU35" s="126">
        <f t="shared" si="54"/>
        <v>2679999.9999999995</v>
      </c>
      <c r="BV35" s="36">
        <f t="shared" si="55"/>
        <v>135.875</v>
      </c>
      <c r="BW35" s="126">
        <f t="shared" si="56"/>
        <v>5330.8137944752461</v>
      </c>
      <c r="BX35" s="126">
        <f t="shared" si="57"/>
        <v>19724.011039558412</v>
      </c>
      <c r="BZ35" s="141"/>
      <c r="CA35" s="129">
        <v>3.7</v>
      </c>
      <c r="CB35" s="141"/>
      <c r="CC35" s="141"/>
      <c r="CD35" s="141"/>
      <c r="CE35" s="146"/>
      <c r="CF35" s="146"/>
      <c r="CG35" s="77"/>
      <c r="CH35" s="77"/>
      <c r="CI35" s="77"/>
      <c r="CJ35" s="77"/>
      <c r="CK35" s="77"/>
      <c r="CL35" s="77"/>
      <c r="CM35" s="77"/>
      <c r="CN35" s="77"/>
      <c r="CO35" s="77"/>
      <c r="CP35" s="77"/>
      <c r="CQ35" s="77"/>
      <c r="CR35" s="77"/>
      <c r="CS35" s="77"/>
    </row>
    <row r="36" spans="2:97" x14ac:dyDescent="0.2">
      <c r="B36" s="308"/>
      <c r="C36" s="123" t="s">
        <v>51</v>
      </c>
      <c r="D36" s="162">
        <v>200000</v>
      </c>
      <c r="E36" s="163">
        <v>20000</v>
      </c>
      <c r="F36" s="164">
        <f t="shared" si="61"/>
        <v>4000</v>
      </c>
      <c r="G36" s="165" t="str">
        <f t="shared" si="62"/>
        <v>LLP 10</v>
      </c>
      <c r="H36" s="121">
        <f t="shared" si="58"/>
        <v>200000</v>
      </c>
      <c r="I36" s="121">
        <f t="shared" si="63"/>
        <v>-40000</v>
      </c>
      <c r="J36" s="163">
        <f t="shared" si="64"/>
        <v>20000</v>
      </c>
      <c r="K36" s="164">
        <f t="shared" si="77"/>
        <v>12000</v>
      </c>
      <c r="L36" s="165" t="str">
        <f t="shared" si="59"/>
        <v/>
      </c>
      <c r="M36" s="121" t="str">
        <f t="shared" si="60"/>
        <v/>
      </c>
      <c r="N36" s="121" t="str">
        <f t="shared" si="65"/>
        <v/>
      </c>
      <c r="O36" s="163">
        <f t="shared" si="66"/>
        <v>12000</v>
      </c>
      <c r="P36" s="164">
        <f t="shared" si="67"/>
        <v>4000</v>
      </c>
      <c r="Q36" s="123" t="str">
        <f t="shared" si="68"/>
        <v>LLP 10</v>
      </c>
      <c r="R36" s="121">
        <f t="shared" si="69"/>
        <v>200000</v>
      </c>
      <c r="S36" s="121">
        <f t="shared" si="70"/>
        <v>-40000</v>
      </c>
      <c r="T36" s="163">
        <f t="shared" si="71"/>
        <v>20000</v>
      </c>
      <c r="U36" s="217">
        <f t="shared" si="72"/>
        <v>12000</v>
      </c>
      <c r="V36" s="156" t="str">
        <f t="shared" si="73"/>
        <v/>
      </c>
      <c r="W36" s="217" t="str">
        <f t="shared" si="74"/>
        <v/>
      </c>
      <c r="X36" s="217" t="str">
        <f t="shared" si="75"/>
        <v/>
      </c>
      <c r="Y36" s="166">
        <f t="shared" si="76"/>
        <v>12000</v>
      </c>
      <c r="Z36" s="176"/>
      <c r="AC36" s="36">
        <v>3.8</v>
      </c>
      <c r="AD36" s="132">
        <v>0.86640000000000006</v>
      </c>
      <c r="AE36" s="132">
        <v>1.0729999999999997</v>
      </c>
      <c r="AF36" s="132">
        <v>0.86640000000000006</v>
      </c>
      <c r="AG36" s="132">
        <v>1.0729999999999997</v>
      </c>
      <c r="AH36" s="126">
        <f t="shared" si="32"/>
        <v>2575199.9999999995</v>
      </c>
      <c r="AI36" s="36">
        <f t="shared" si="33"/>
        <v>64.98</v>
      </c>
      <c r="AJ36" s="126">
        <f t="shared" si="13"/>
        <v>10429.119891140592</v>
      </c>
      <c r="AK36" s="126">
        <f t="shared" si="14"/>
        <v>39630.655586334244</v>
      </c>
      <c r="AL36" s="126">
        <f t="shared" si="15"/>
        <v>2682499.9999999995</v>
      </c>
      <c r="AM36" s="127">
        <f t="shared" si="15"/>
        <v>135.375</v>
      </c>
      <c r="AN36" s="126">
        <f t="shared" si="15"/>
        <v>5214.5599455702968</v>
      </c>
      <c r="AO36" s="126">
        <f t="shared" si="15"/>
        <v>19815.327793167125</v>
      </c>
      <c r="AP36" s="126">
        <f t="shared" si="15"/>
        <v>2682499.9999999995</v>
      </c>
      <c r="AQ36" s="127">
        <f t="shared" si="15"/>
        <v>135.375</v>
      </c>
      <c r="AR36" s="126">
        <f t="shared" si="15"/>
        <v>5214.5599455702968</v>
      </c>
      <c r="AS36" s="126">
        <f t="shared" si="15"/>
        <v>19815.327793167125</v>
      </c>
      <c r="AT36" s="126">
        <f t="shared" si="15"/>
        <v>2682499.9999999995</v>
      </c>
      <c r="AU36" s="127">
        <f t="shared" si="15"/>
        <v>135.375</v>
      </c>
      <c r="AV36" s="126">
        <f t="shared" si="15"/>
        <v>5214.5599455702968</v>
      </c>
      <c r="AW36" s="126">
        <f t="shared" si="15"/>
        <v>19815.327793167125</v>
      </c>
      <c r="AY36" s="36">
        <v>3.8</v>
      </c>
      <c r="AZ36" s="126">
        <f t="shared" si="38"/>
        <v>2682499.9999999995</v>
      </c>
      <c r="BA36" s="36">
        <f t="shared" si="39"/>
        <v>135.375</v>
      </c>
      <c r="BB36" s="126">
        <f t="shared" si="40"/>
        <v>5214.5599455702968</v>
      </c>
      <c r="BC36" s="126">
        <f t="shared" si="41"/>
        <v>19815.327793167125</v>
      </c>
      <c r="BD36" s="126">
        <f t="shared" si="42"/>
        <v>2682499.9999999995</v>
      </c>
      <c r="BE36" s="36">
        <f t="shared" si="43"/>
        <v>135.375</v>
      </c>
      <c r="BF36" s="126">
        <f t="shared" si="34"/>
        <v>5214.5599455702968</v>
      </c>
      <c r="BG36" s="126">
        <f t="shared" si="35"/>
        <v>19815.327793167125</v>
      </c>
      <c r="BH36" s="126">
        <f t="shared" si="44"/>
        <v>2682499.9999999995</v>
      </c>
      <c r="BI36" s="36">
        <f t="shared" si="45"/>
        <v>135.375</v>
      </c>
      <c r="BJ36" s="126">
        <f t="shared" si="36"/>
        <v>5214.5599455702968</v>
      </c>
      <c r="BK36" s="126">
        <f t="shared" si="37"/>
        <v>19815.327793167125</v>
      </c>
      <c r="BM36" s="126">
        <f t="shared" si="46"/>
        <v>2682499.9999999995</v>
      </c>
      <c r="BN36" s="36">
        <f t="shared" si="47"/>
        <v>135.375</v>
      </c>
      <c r="BO36" s="126">
        <f t="shared" si="48"/>
        <v>5214.5599455702968</v>
      </c>
      <c r="BP36" s="126">
        <f t="shared" si="49"/>
        <v>19815.327793167125</v>
      </c>
      <c r="BQ36" s="126">
        <f t="shared" si="50"/>
        <v>2682499.9999999995</v>
      </c>
      <c r="BR36" s="36">
        <f t="shared" si="51"/>
        <v>135.375</v>
      </c>
      <c r="BS36" s="126">
        <f t="shared" si="52"/>
        <v>5214.5599455702968</v>
      </c>
      <c r="BT36" s="126">
        <f t="shared" si="53"/>
        <v>19815.327793167125</v>
      </c>
      <c r="BU36" s="126">
        <f t="shared" si="54"/>
        <v>2682499.9999999995</v>
      </c>
      <c r="BV36" s="36">
        <f t="shared" si="55"/>
        <v>135.375</v>
      </c>
      <c r="BW36" s="126">
        <f t="shared" si="56"/>
        <v>5214.5599455702968</v>
      </c>
      <c r="BX36" s="126">
        <f t="shared" si="57"/>
        <v>19815.327793167125</v>
      </c>
      <c r="BZ36" s="141"/>
      <c r="CA36" s="129">
        <v>3.8</v>
      </c>
      <c r="CB36" s="141"/>
      <c r="CC36" s="141"/>
      <c r="CD36" s="141"/>
      <c r="CE36" s="146"/>
      <c r="CF36" s="146"/>
      <c r="CG36" s="77"/>
      <c r="CH36" s="77"/>
      <c r="CI36" s="77"/>
      <c r="CJ36" s="77"/>
      <c r="CK36" s="77"/>
      <c r="CL36" s="77"/>
      <c r="CM36" s="77"/>
      <c r="CN36" s="77"/>
      <c r="CO36" s="77"/>
      <c r="CP36" s="77"/>
      <c r="CQ36" s="77"/>
      <c r="CR36" s="77"/>
      <c r="CS36" s="77"/>
    </row>
    <row r="37" spans="2:97" x14ac:dyDescent="0.2">
      <c r="B37" s="308"/>
      <c r="C37" s="123" t="s">
        <v>52</v>
      </c>
      <c r="D37" s="162">
        <v>200000</v>
      </c>
      <c r="E37" s="163">
        <v>20000</v>
      </c>
      <c r="F37" s="164">
        <f t="shared" si="61"/>
        <v>4000</v>
      </c>
      <c r="G37" s="165" t="str">
        <f t="shared" si="62"/>
        <v>LLP 11</v>
      </c>
      <c r="H37" s="121">
        <f t="shared" si="58"/>
        <v>200000</v>
      </c>
      <c r="I37" s="121">
        <f t="shared" si="63"/>
        <v>-40000</v>
      </c>
      <c r="J37" s="163">
        <f t="shared" si="64"/>
        <v>20000</v>
      </c>
      <c r="K37" s="164">
        <f t="shared" si="77"/>
        <v>12000</v>
      </c>
      <c r="L37" s="165" t="str">
        <f t="shared" si="59"/>
        <v/>
      </c>
      <c r="M37" s="121" t="str">
        <f t="shared" si="60"/>
        <v/>
      </c>
      <c r="N37" s="121" t="str">
        <f t="shared" si="65"/>
        <v/>
      </c>
      <c r="O37" s="163">
        <f t="shared" si="66"/>
        <v>12000</v>
      </c>
      <c r="P37" s="164">
        <f t="shared" si="67"/>
        <v>4000</v>
      </c>
      <c r="Q37" s="123" t="str">
        <f t="shared" si="68"/>
        <v>LLP 11</v>
      </c>
      <c r="R37" s="121">
        <f t="shared" si="69"/>
        <v>200000</v>
      </c>
      <c r="S37" s="121">
        <f t="shared" si="70"/>
        <v>-40000</v>
      </c>
      <c r="T37" s="163">
        <f t="shared" si="71"/>
        <v>20000</v>
      </c>
      <c r="U37" s="217">
        <f t="shared" si="72"/>
        <v>12000</v>
      </c>
      <c r="V37" s="156" t="str">
        <f t="shared" si="73"/>
        <v/>
      </c>
      <c r="W37" s="217" t="str">
        <f t="shared" si="74"/>
        <v/>
      </c>
      <c r="X37" s="217" t="str">
        <f t="shared" si="75"/>
        <v/>
      </c>
      <c r="Y37" s="166">
        <f t="shared" si="76"/>
        <v>12000</v>
      </c>
      <c r="AC37" s="36">
        <v>3.9</v>
      </c>
      <c r="AD37" s="132">
        <v>0.86320000000000008</v>
      </c>
      <c r="AE37" s="132">
        <v>1.0739999999999996</v>
      </c>
      <c r="AF37" s="132">
        <v>0.86320000000000008</v>
      </c>
      <c r="AG37" s="132">
        <v>1.0739999999999996</v>
      </c>
      <c r="AH37" s="126">
        <f t="shared" si="32"/>
        <v>2577599.9999999991</v>
      </c>
      <c r="AI37" s="36">
        <f t="shared" si="33"/>
        <v>64.740000000000009</v>
      </c>
      <c r="AJ37" s="126">
        <f t="shared" si="13"/>
        <v>10208.882868753115</v>
      </c>
      <c r="AK37" s="126">
        <f t="shared" si="14"/>
        <v>39814.643188137146</v>
      </c>
      <c r="AL37" s="126">
        <f t="shared" si="15"/>
        <v>2684999.9999999991</v>
      </c>
      <c r="AM37" s="127">
        <f t="shared" si="15"/>
        <v>134.875</v>
      </c>
      <c r="AN37" s="126">
        <f t="shared" si="15"/>
        <v>5104.4414343765584</v>
      </c>
      <c r="AO37" s="126">
        <f t="shared" si="15"/>
        <v>19907.321594068577</v>
      </c>
      <c r="AP37" s="126">
        <f t="shared" si="15"/>
        <v>2684999.9999999991</v>
      </c>
      <c r="AQ37" s="127">
        <f t="shared" si="15"/>
        <v>134.875</v>
      </c>
      <c r="AR37" s="126">
        <f t="shared" si="15"/>
        <v>5104.4414343765584</v>
      </c>
      <c r="AS37" s="126">
        <f t="shared" si="15"/>
        <v>19907.321594068577</v>
      </c>
      <c r="AT37" s="126">
        <f t="shared" si="15"/>
        <v>2684999.9999999991</v>
      </c>
      <c r="AU37" s="127">
        <f t="shared" si="15"/>
        <v>134.875</v>
      </c>
      <c r="AV37" s="126">
        <f t="shared" si="15"/>
        <v>5104.4414343765584</v>
      </c>
      <c r="AW37" s="126">
        <f t="shared" si="15"/>
        <v>19907.321594068577</v>
      </c>
      <c r="AY37" s="36">
        <v>3.9</v>
      </c>
      <c r="AZ37" s="126">
        <f t="shared" si="38"/>
        <v>2684999.9999999991</v>
      </c>
      <c r="BA37" s="36">
        <f t="shared" si="39"/>
        <v>134.875</v>
      </c>
      <c r="BB37" s="126">
        <f t="shared" si="40"/>
        <v>5104.4414343765584</v>
      </c>
      <c r="BC37" s="126">
        <f t="shared" si="41"/>
        <v>19907.321594068577</v>
      </c>
      <c r="BD37" s="126">
        <f t="shared" si="42"/>
        <v>2684999.9999999991</v>
      </c>
      <c r="BE37" s="36">
        <f t="shared" si="43"/>
        <v>134.875</v>
      </c>
      <c r="BF37" s="126">
        <f t="shared" si="34"/>
        <v>5104.4414343765584</v>
      </c>
      <c r="BG37" s="126">
        <f t="shared" si="35"/>
        <v>19907.321594068577</v>
      </c>
      <c r="BH37" s="126">
        <f t="shared" si="44"/>
        <v>2684999.9999999991</v>
      </c>
      <c r="BI37" s="36">
        <f t="shared" si="45"/>
        <v>134.875</v>
      </c>
      <c r="BJ37" s="126">
        <f t="shared" si="36"/>
        <v>5104.4414343765584</v>
      </c>
      <c r="BK37" s="126">
        <f t="shared" si="37"/>
        <v>19907.321594068577</v>
      </c>
      <c r="BM37" s="126">
        <f t="shared" si="46"/>
        <v>2684999.9999999991</v>
      </c>
      <c r="BN37" s="36">
        <f t="shared" si="47"/>
        <v>134.875</v>
      </c>
      <c r="BO37" s="126">
        <f t="shared" si="48"/>
        <v>5104.4414343765584</v>
      </c>
      <c r="BP37" s="126">
        <f t="shared" si="49"/>
        <v>19907.321594068577</v>
      </c>
      <c r="BQ37" s="126">
        <f t="shared" si="50"/>
        <v>2684999.9999999991</v>
      </c>
      <c r="BR37" s="36">
        <f t="shared" si="51"/>
        <v>134.875</v>
      </c>
      <c r="BS37" s="126">
        <f t="shared" si="52"/>
        <v>5104.4414343765584</v>
      </c>
      <c r="BT37" s="126">
        <f t="shared" si="53"/>
        <v>19907.321594068577</v>
      </c>
      <c r="BU37" s="126">
        <f t="shared" si="54"/>
        <v>2684999.9999999991</v>
      </c>
      <c r="BV37" s="36">
        <f t="shared" si="55"/>
        <v>134.875</v>
      </c>
      <c r="BW37" s="126">
        <f t="shared" si="56"/>
        <v>5104.4414343765584</v>
      </c>
      <c r="BX37" s="126">
        <f t="shared" si="57"/>
        <v>19907.321594068577</v>
      </c>
      <c r="BZ37" s="141"/>
      <c r="CA37" s="129">
        <v>3.9</v>
      </c>
      <c r="CB37" s="141"/>
      <c r="CC37" s="141"/>
      <c r="CD37" s="141"/>
      <c r="CE37" s="146"/>
      <c r="CF37" s="146"/>
      <c r="CG37" s="77"/>
      <c r="CH37" s="77"/>
      <c r="CI37" s="77"/>
      <c r="CJ37" s="77"/>
      <c r="CK37" s="77"/>
      <c r="CL37" s="77"/>
      <c r="CM37" s="77"/>
      <c r="CN37" s="77"/>
      <c r="CO37" s="77"/>
      <c r="CP37" s="77"/>
      <c r="CQ37" s="77"/>
      <c r="CR37" s="77"/>
      <c r="CS37" s="77"/>
    </row>
    <row r="38" spans="2:97" x14ac:dyDescent="0.2">
      <c r="B38" s="309"/>
      <c r="C38" s="167" t="s">
        <v>53</v>
      </c>
      <c r="D38" s="168">
        <v>200000</v>
      </c>
      <c r="E38" s="169">
        <v>20000</v>
      </c>
      <c r="F38" s="170">
        <f t="shared" si="61"/>
        <v>4000</v>
      </c>
      <c r="G38" s="171" t="str">
        <f t="shared" si="62"/>
        <v>LLP 12</v>
      </c>
      <c r="H38" s="169">
        <f t="shared" si="58"/>
        <v>200000</v>
      </c>
      <c r="I38" s="169">
        <f t="shared" si="63"/>
        <v>-40000</v>
      </c>
      <c r="J38" s="172">
        <f t="shared" si="64"/>
        <v>20000</v>
      </c>
      <c r="K38" s="170">
        <f t="shared" si="77"/>
        <v>12000</v>
      </c>
      <c r="L38" s="171" t="str">
        <f t="shared" si="59"/>
        <v/>
      </c>
      <c r="M38" s="169" t="str">
        <f t="shared" si="60"/>
        <v/>
      </c>
      <c r="N38" s="169" t="str">
        <f t="shared" si="65"/>
        <v/>
      </c>
      <c r="O38" s="172">
        <f t="shared" si="66"/>
        <v>12000</v>
      </c>
      <c r="P38" s="170">
        <f t="shared" si="67"/>
        <v>4000</v>
      </c>
      <c r="Q38" s="167" t="str">
        <f t="shared" si="68"/>
        <v>LLP 12</v>
      </c>
      <c r="R38" s="169">
        <f t="shared" si="69"/>
        <v>200000</v>
      </c>
      <c r="S38" s="169">
        <f t="shared" si="70"/>
        <v>-40000</v>
      </c>
      <c r="T38" s="172">
        <f t="shared" si="71"/>
        <v>20000</v>
      </c>
      <c r="U38" s="173">
        <f t="shared" si="72"/>
        <v>12000</v>
      </c>
      <c r="V38" s="174" t="str">
        <f t="shared" si="73"/>
        <v/>
      </c>
      <c r="W38" s="173" t="str">
        <f t="shared" si="74"/>
        <v/>
      </c>
      <c r="X38" s="173" t="str">
        <f t="shared" si="75"/>
        <v/>
      </c>
      <c r="Y38" s="175">
        <f t="shared" si="76"/>
        <v>12000</v>
      </c>
      <c r="AC38" s="54">
        <v>4</v>
      </c>
      <c r="AD38" s="124">
        <v>0.86</v>
      </c>
      <c r="AE38" s="124">
        <v>1.075</v>
      </c>
      <c r="AF38" s="124">
        <v>0.86</v>
      </c>
      <c r="AG38" s="124">
        <v>1.075</v>
      </c>
      <c r="AH38" s="125">
        <f t="shared" si="32"/>
        <v>2580000</v>
      </c>
      <c r="AI38" s="54">
        <f t="shared" si="33"/>
        <v>64.5</v>
      </c>
      <c r="AJ38" s="125">
        <f t="shared" si="13"/>
        <v>10000</v>
      </c>
      <c r="AK38" s="125">
        <f t="shared" si="14"/>
        <v>40000</v>
      </c>
      <c r="AL38" s="126">
        <f t="shared" si="15"/>
        <v>2687500</v>
      </c>
      <c r="AM38" s="127">
        <f t="shared" si="15"/>
        <v>134.375</v>
      </c>
      <c r="AN38" s="126">
        <f t="shared" si="15"/>
        <v>5000</v>
      </c>
      <c r="AO38" s="126">
        <f t="shared" si="15"/>
        <v>20000</v>
      </c>
      <c r="AP38" s="126">
        <f t="shared" si="15"/>
        <v>2687500</v>
      </c>
      <c r="AQ38" s="127">
        <f t="shared" si="15"/>
        <v>134.375</v>
      </c>
      <c r="AR38" s="126">
        <f t="shared" si="15"/>
        <v>5000</v>
      </c>
      <c r="AS38" s="126">
        <f t="shared" si="15"/>
        <v>20000</v>
      </c>
      <c r="AT38" s="126">
        <f t="shared" si="15"/>
        <v>2687500</v>
      </c>
      <c r="AU38" s="127">
        <f t="shared" si="15"/>
        <v>134.375</v>
      </c>
      <c r="AV38" s="126">
        <f t="shared" si="15"/>
        <v>5000</v>
      </c>
      <c r="AW38" s="126">
        <f t="shared" si="15"/>
        <v>20000</v>
      </c>
      <c r="AY38" s="36">
        <v>4</v>
      </c>
      <c r="AZ38" s="126">
        <f t="shared" si="38"/>
        <v>2687500</v>
      </c>
      <c r="BA38" s="36">
        <f t="shared" si="39"/>
        <v>134.375</v>
      </c>
      <c r="BB38" s="126">
        <f t="shared" si="40"/>
        <v>5000</v>
      </c>
      <c r="BC38" s="126">
        <f t="shared" si="41"/>
        <v>20000</v>
      </c>
      <c r="BD38" s="126">
        <f t="shared" si="42"/>
        <v>2687500</v>
      </c>
      <c r="BE38" s="36">
        <f t="shared" si="43"/>
        <v>134.375</v>
      </c>
      <c r="BF38" s="126">
        <f t="shared" si="34"/>
        <v>5000</v>
      </c>
      <c r="BG38" s="126">
        <f t="shared" si="35"/>
        <v>20000</v>
      </c>
      <c r="BH38" s="126">
        <f t="shared" si="44"/>
        <v>2687500</v>
      </c>
      <c r="BI38" s="36">
        <f t="shared" si="45"/>
        <v>134.375</v>
      </c>
      <c r="BJ38" s="126">
        <f t="shared" si="36"/>
        <v>5000</v>
      </c>
      <c r="BK38" s="126">
        <f t="shared" si="37"/>
        <v>20000</v>
      </c>
      <c r="BM38" s="126">
        <f t="shared" si="46"/>
        <v>2687500</v>
      </c>
      <c r="BN38" s="36">
        <f t="shared" si="47"/>
        <v>134.375</v>
      </c>
      <c r="BO38" s="126">
        <f t="shared" si="48"/>
        <v>5000</v>
      </c>
      <c r="BP38" s="126">
        <f t="shared" si="49"/>
        <v>20000</v>
      </c>
      <c r="BQ38" s="126">
        <f t="shared" si="50"/>
        <v>2687500</v>
      </c>
      <c r="BR38" s="36">
        <f t="shared" si="51"/>
        <v>134.375</v>
      </c>
      <c r="BS38" s="126">
        <f t="shared" si="52"/>
        <v>5000</v>
      </c>
      <c r="BT38" s="126">
        <f t="shared" si="53"/>
        <v>20000</v>
      </c>
      <c r="BU38" s="126">
        <f t="shared" si="54"/>
        <v>2687500</v>
      </c>
      <c r="BV38" s="36">
        <f t="shared" si="55"/>
        <v>134.375</v>
      </c>
      <c r="BW38" s="126">
        <f t="shared" si="56"/>
        <v>5000</v>
      </c>
      <c r="BX38" s="126">
        <f t="shared" si="57"/>
        <v>20000</v>
      </c>
      <c r="BZ38" s="141"/>
      <c r="CA38" s="129">
        <v>4</v>
      </c>
      <c r="CB38" s="141"/>
      <c r="CC38" s="141"/>
      <c r="CD38" s="141"/>
      <c r="CE38" s="146"/>
      <c r="CF38" s="146"/>
      <c r="CG38" s="77"/>
      <c r="CH38" s="77"/>
      <c r="CI38" s="77"/>
      <c r="CJ38" s="77"/>
      <c r="CK38" s="77"/>
      <c r="CL38" s="77"/>
      <c r="CM38" s="77"/>
      <c r="CN38" s="77"/>
      <c r="CO38" s="77"/>
      <c r="CP38" s="77"/>
      <c r="CQ38" s="77"/>
      <c r="CR38" s="77"/>
      <c r="CS38" s="77"/>
    </row>
    <row r="39" spans="2:97" x14ac:dyDescent="0.2">
      <c r="B39" s="310" t="s">
        <v>130</v>
      </c>
      <c r="C39" s="123" t="s">
        <v>55</v>
      </c>
      <c r="D39" s="162">
        <v>100000</v>
      </c>
      <c r="E39" s="163">
        <v>25000</v>
      </c>
      <c r="F39" s="164">
        <f t="shared" si="61"/>
        <v>9000</v>
      </c>
      <c r="G39" s="165" t="str">
        <f t="shared" si="62"/>
        <v/>
      </c>
      <c r="H39" s="121" t="str">
        <f t="shared" si="58"/>
        <v/>
      </c>
      <c r="I39" s="121" t="str">
        <f t="shared" si="63"/>
        <v/>
      </c>
      <c r="J39" s="163">
        <f t="shared" si="64"/>
        <v>9000</v>
      </c>
      <c r="K39" s="164">
        <f t="shared" si="77"/>
        <v>1000</v>
      </c>
      <c r="L39" s="165" t="str">
        <f t="shared" si="59"/>
        <v>LLP 13</v>
      </c>
      <c r="M39" s="121">
        <f t="shared" si="60"/>
        <v>100000</v>
      </c>
      <c r="N39" s="121">
        <f t="shared" si="65"/>
        <v>-4000</v>
      </c>
      <c r="O39" s="163">
        <f t="shared" si="66"/>
        <v>25000</v>
      </c>
      <c r="P39" s="164">
        <f t="shared" si="67"/>
        <v>17000</v>
      </c>
      <c r="Q39" s="123" t="str">
        <f t="shared" si="68"/>
        <v/>
      </c>
      <c r="R39" s="121" t="str">
        <f t="shared" si="69"/>
        <v/>
      </c>
      <c r="S39" s="121" t="str">
        <f t="shared" si="70"/>
        <v/>
      </c>
      <c r="T39" s="163">
        <f t="shared" si="71"/>
        <v>17000</v>
      </c>
      <c r="U39" s="217">
        <f t="shared" si="72"/>
        <v>9000</v>
      </c>
      <c r="V39" s="156" t="str">
        <f t="shared" si="73"/>
        <v/>
      </c>
      <c r="W39" s="217" t="str">
        <f t="shared" si="74"/>
        <v/>
      </c>
      <c r="X39" s="217" t="str">
        <f t="shared" si="75"/>
        <v/>
      </c>
      <c r="Y39" s="166">
        <f t="shared" si="76"/>
        <v>9000</v>
      </c>
      <c r="AC39" s="36"/>
      <c r="AD39" s="132"/>
      <c r="AE39" s="132"/>
      <c r="AF39" s="132"/>
      <c r="AG39" s="132"/>
      <c r="AH39" s="126"/>
      <c r="AI39" s="36"/>
      <c r="AJ39" s="126"/>
      <c r="AK39" s="126"/>
      <c r="AL39" s="126"/>
      <c r="AM39" s="36"/>
      <c r="AN39" s="126"/>
      <c r="AO39" s="126"/>
      <c r="BZ39" s="177"/>
      <c r="CA39" s="178"/>
      <c r="CB39" s="177"/>
      <c r="CC39" s="177"/>
      <c r="CD39" s="177"/>
      <c r="CE39" s="146"/>
      <c r="CF39" s="146"/>
      <c r="CG39" s="77"/>
      <c r="CH39" s="77"/>
      <c r="CI39" s="77"/>
      <c r="CJ39" s="77"/>
      <c r="CK39" s="77"/>
      <c r="CL39" s="77"/>
      <c r="CM39" s="77"/>
      <c r="CN39" s="77"/>
      <c r="CO39" s="77"/>
      <c r="CP39" s="77"/>
      <c r="CQ39" s="77"/>
      <c r="CR39" s="77"/>
      <c r="CS39" s="77"/>
    </row>
    <row r="40" spans="2:97" x14ac:dyDescent="0.2">
      <c r="B40" s="308"/>
      <c r="C40" s="123" t="s">
        <v>56</v>
      </c>
      <c r="D40" s="162">
        <v>100000</v>
      </c>
      <c r="E40" s="163">
        <v>25000</v>
      </c>
      <c r="F40" s="164">
        <f t="shared" si="61"/>
        <v>9000</v>
      </c>
      <c r="G40" s="165" t="str">
        <f t="shared" si="62"/>
        <v/>
      </c>
      <c r="H40" s="121" t="str">
        <f t="shared" si="58"/>
        <v/>
      </c>
      <c r="I40" s="121" t="str">
        <f t="shared" si="63"/>
        <v/>
      </c>
      <c r="J40" s="163">
        <f t="shared" si="64"/>
        <v>9000</v>
      </c>
      <c r="K40" s="164">
        <f t="shared" si="77"/>
        <v>1000</v>
      </c>
      <c r="L40" s="165" t="str">
        <f t="shared" si="59"/>
        <v>LLP 14</v>
      </c>
      <c r="M40" s="121">
        <f t="shared" si="60"/>
        <v>100000</v>
      </c>
      <c r="N40" s="121">
        <f t="shared" si="65"/>
        <v>-4000</v>
      </c>
      <c r="O40" s="163">
        <f t="shared" si="66"/>
        <v>25000</v>
      </c>
      <c r="P40" s="164">
        <f t="shared" si="67"/>
        <v>17000</v>
      </c>
      <c r="Q40" s="123" t="str">
        <f t="shared" si="68"/>
        <v/>
      </c>
      <c r="R40" s="121" t="str">
        <f t="shared" si="69"/>
        <v/>
      </c>
      <c r="S40" s="121" t="str">
        <f t="shared" si="70"/>
        <v/>
      </c>
      <c r="T40" s="163">
        <f t="shared" si="71"/>
        <v>17000</v>
      </c>
      <c r="U40" s="217">
        <f t="shared" si="72"/>
        <v>9000</v>
      </c>
      <c r="V40" s="156" t="str">
        <f t="shared" si="73"/>
        <v/>
      </c>
      <c r="W40" s="217" t="str">
        <f t="shared" si="74"/>
        <v/>
      </c>
      <c r="X40" s="217" t="str">
        <f t="shared" si="75"/>
        <v/>
      </c>
      <c r="Y40" s="166">
        <f t="shared" si="76"/>
        <v>9000</v>
      </c>
      <c r="AC40" s="36"/>
      <c r="AD40" s="132"/>
      <c r="AE40" s="132"/>
      <c r="AF40" s="132"/>
      <c r="AG40" s="132"/>
      <c r="AH40" s="126"/>
      <c r="AI40" s="36"/>
      <c r="AJ40" s="126"/>
      <c r="AK40" s="126"/>
      <c r="AL40" s="126"/>
      <c r="AM40" s="36"/>
      <c r="AN40" s="126"/>
      <c r="AO40" s="126"/>
      <c r="BZ40" s="177"/>
      <c r="CA40" s="178"/>
      <c r="CB40" s="177"/>
      <c r="CC40" s="177"/>
      <c r="CD40" s="177"/>
      <c r="CE40" s="146"/>
      <c r="CF40" s="146"/>
      <c r="CG40" s="77"/>
      <c r="CH40" s="77"/>
      <c r="CI40" s="77"/>
      <c r="CJ40" s="77"/>
      <c r="CK40" s="77"/>
      <c r="CL40" s="77"/>
      <c r="CM40" s="77"/>
      <c r="CN40" s="77"/>
      <c r="CO40" s="77"/>
      <c r="CP40" s="77"/>
      <c r="CQ40" s="77"/>
      <c r="CR40" s="77"/>
      <c r="CS40" s="77"/>
    </row>
    <row r="41" spans="2:97" x14ac:dyDescent="0.2">
      <c r="B41" s="308"/>
      <c r="C41" s="123" t="s">
        <v>57</v>
      </c>
      <c r="D41" s="162">
        <v>100000</v>
      </c>
      <c r="E41" s="163">
        <v>25000</v>
      </c>
      <c r="F41" s="164">
        <f t="shared" si="61"/>
        <v>9000</v>
      </c>
      <c r="G41" s="165" t="str">
        <f t="shared" si="62"/>
        <v/>
      </c>
      <c r="H41" s="121" t="str">
        <f t="shared" si="58"/>
        <v/>
      </c>
      <c r="I41" s="121" t="str">
        <f t="shared" si="63"/>
        <v/>
      </c>
      <c r="J41" s="163">
        <f t="shared" si="64"/>
        <v>9000</v>
      </c>
      <c r="K41" s="164">
        <f t="shared" si="77"/>
        <v>1000</v>
      </c>
      <c r="L41" s="165" t="str">
        <f t="shared" si="59"/>
        <v>LLP 15</v>
      </c>
      <c r="M41" s="121">
        <f t="shared" si="60"/>
        <v>100000</v>
      </c>
      <c r="N41" s="121">
        <f t="shared" si="65"/>
        <v>-4000</v>
      </c>
      <c r="O41" s="163">
        <f t="shared" si="66"/>
        <v>25000</v>
      </c>
      <c r="P41" s="164">
        <f t="shared" si="67"/>
        <v>17000</v>
      </c>
      <c r="Q41" s="123" t="str">
        <f t="shared" si="68"/>
        <v/>
      </c>
      <c r="R41" s="121" t="str">
        <f t="shared" si="69"/>
        <v/>
      </c>
      <c r="S41" s="121" t="str">
        <f t="shared" si="70"/>
        <v/>
      </c>
      <c r="T41" s="163">
        <f t="shared" si="71"/>
        <v>17000</v>
      </c>
      <c r="U41" s="217">
        <f t="shared" si="72"/>
        <v>9000</v>
      </c>
      <c r="V41" s="156" t="str">
        <f t="shared" si="73"/>
        <v/>
      </c>
      <c r="W41" s="217" t="str">
        <f t="shared" si="74"/>
        <v/>
      </c>
      <c r="X41" s="217" t="str">
        <f t="shared" si="75"/>
        <v/>
      </c>
      <c r="Y41" s="166">
        <f t="shared" si="76"/>
        <v>9000</v>
      </c>
      <c r="AC41" s="36"/>
      <c r="AD41" s="132"/>
      <c r="AE41" s="132"/>
      <c r="AF41" s="132"/>
      <c r="AG41" s="132"/>
      <c r="AH41" s="126"/>
      <c r="AI41" s="36"/>
      <c r="AJ41" s="126"/>
      <c r="AK41" s="126"/>
      <c r="AL41" s="126"/>
      <c r="AM41" s="36"/>
      <c r="AN41" s="126"/>
      <c r="AO41" s="126"/>
      <c r="BZ41" s="177"/>
      <c r="CA41" s="178"/>
      <c r="CB41" s="177"/>
      <c r="CC41" s="177"/>
      <c r="CD41" s="177"/>
      <c r="CE41" s="146"/>
      <c r="CF41" s="146"/>
      <c r="CG41" s="77"/>
      <c r="CH41" s="77"/>
      <c r="CI41" s="77"/>
      <c r="CJ41" s="77"/>
      <c r="CK41" s="77"/>
      <c r="CL41" s="77"/>
      <c r="CM41" s="77"/>
      <c r="CN41" s="77"/>
      <c r="CO41" s="77"/>
      <c r="CP41" s="77"/>
      <c r="CQ41" s="77"/>
      <c r="CR41" s="77"/>
      <c r="CS41" s="77"/>
    </row>
    <row r="42" spans="2:97" x14ac:dyDescent="0.2">
      <c r="B42" s="308"/>
      <c r="C42" s="123" t="s">
        <v>58</v>
      </c>
      <c r="D42" s="162">
        <v>100000</v>
      </c>
      <c r="E42" s="163">
        <v>25000</v>
      </c>
      <c r="F42" s="164">
        <f t="shared" si="61"/>
        <v>9000</v>
      </c>
      <c r="G42" s="165" t="str">
        <f t="shared" si="62"/>
        <v/>
      </c>
      <c r="H42" s="121" t="str">
        <f t="shared" si="58"/>
        <v/>
      </c>
      <c r="I42" s="121" t="str">
        <f t="shared" si="63"/>
        <v/>
      </c>
      <c r="J42" s="163">
        <f t="shared" si="64"/>
        <v>9000</v>
      </c>
      <c r="K42" s="164">
        <f t="shared" si="77"/>
        <v>1000</v>
      </c>
      <c r="L42" s="165" t="str">
        <f t="shared" si="59"/>
        <v>LLP 16</v>
      </c>
      <c r="M42" s="121">
        <f t="shared" si="60"/>
        <v>100000</v>
      </c>
      <c r="N42" s="121">
        <f t="shared" si="65"/>
        <v>-4000</v>
      </c>
      <c r="O42" s="163">
        <f t="shared" si="66"/>
        <v>25000</v>
      </c>
      <c r="P42" s="164">
        <f t="shared" si="67"/>
        <v>17000</v>
      </c>
      <c r="Q42" s="123" t="str">
        <f t="shared" si="68"/>
        <v/>
      </c>
      <c r="R42" s="121" t="str">
        <f t="shared" si="69"/>
        <v/>
      </c>
      <c r="S42" s="121" t="str">
        <f t="shared" si="70"/>
        <v/>
      </c>
      <c r="T42" s="163">
        <f t="shared" si="71"/>
        <v>17000</v>
      </c>
      <c r="U42" s="217">
        <f t="shared" si="72"/>
        <v>9000</v>
      </c>
      <c r="V42" s="156" t="str">
        <f t="shared" si="73"/>
        <v/>
      </c>
      <c r="W42" s="217" t="str">
        <f t="shared" si="74"/>
        <v/>
      </c>
      <c r="X42" s="217" t="str">
        <f t="shared" si="75"/>
        <v/>
      </c>
      <c r="Y42" s="166">
        <f t="shared" si="76"/>
        <v>9000</v>
      </c>
      <c r="CG42" s="77"/>
      <c r="CH42" s="77"/>
      <c r="CI42" s="77"/>
      <c r="CJ42" s="77"/>
      <c r="CK42" s="77"/>
      <c r="CL42" s="77"/>
      <c r="CM42" s="77"/>
      <c r="CN42" s="77"/>
      <c r="CO42" s="77"/>
      <c r="CP42" s="77"/>
      <c r="CQ42" s="77"/>
      <c r="CR42" s="77"/>
      <c r="CS42" s="77"/>
    </row>
    <row r="43" spans="2:97" x14ac:dyDescent="0.2">
      <c r="B43" s="308"/>
      <c r="C43" s="123" t="s">
        <v>59</v>
      </c>
      <c r="D43" s="162">
        <v>100000</v>
      </c>
      <c r="E43" s="163">
        <v>25000</v>
      </c>
      <c r="F43" s="164">
        <f t="shared" si="61"/>
        <v>9000</v>
      </c>
      <c r="G43" s="165" t="str">
        <f t="shared" si="62"/>
        <v/>
      </c>
      <c r="H43" s="121" t="str">
        <f t="shared" si="58"/>
        <v/>
      </c>
      <c r="I43" s="121" t="str">
        <f t="shared" si="63"/>
        <v/>
      </c>
      <c r="J43" s="163">
        <f t="shared" si="64"/>
        <v>9000</v>
      </c>
      <c r="K43" s="164">
        <f t="shared" si="77"/>
        <v>1000</v>
      </c>
      <c r="L43" s="165" t="str">
        <f t="shared" si="59"/>
        <v>LLP 17</v>
      </c>
      <c r="M43" s="121">
        <f t="shared" si="60"/>
        <v>100000</v>
      </c>
      <c r="N43" s="121">
        <f t="shared" si="65"/>
        <v>-4000</v>
      </c>
      <c r="O43" s="163">
        <f t="shared" si="66"/>
        <v>25000</v>
      </c>
      <c r="P43" s="164">
        <f t="shared" si="67"/>
        <v>17000</v>
      </c>
      <c r="Q43" s="123" t="str">
        <f t="shared" si="68"/>
        <v/>
      </c>
      <c r="R43" s="121" t="str">
        <f t="shared" si="69"/>
        <v/>
      </c>
      <c r="S43" s="121" t="str">
        <f t="shared" si="70"/>
        <v/>
      </c>
      <c r="T43" s="163">
        <f t="shared" si="71"/>
        <v>17000</v>
      </c>
      <c r="U43" s="217">
        <f t="shared" si="72"/>
        <v>9000</v>
      </c>
      <c r="V43" s="156" t="str">
        <f t="shared" si="73"/>
        <v/>
      </c>
      <c r="W43" s="217" t="str">
        <f t="shared" si="74"/>
        <v/>
      </c>
      <c r="X43" s="217" t="str">
        <f t="shared" si="75"/>
        <v/>
      </c>
      <c r="Y43" s="166">
        <f t="shared" si="76"/>
        <v>9000</v>
      </c>
      <c r="CG43" s="77"/>
      <c r="CH43" s="77"/>
      <c r="CI43" s="77"/>
      <c r="CJ43" s="77"/>
      <c r="CK43" s="77"/>
      <c r="CL43" s="77"/>
      <c r="CM43" s="77"/>
      <c r="CN43" s="77"/>
      <c r="CO43" s="77"/>
      <c r="CP43" s="77"/>
      <c r="CQ43" s="77"/>
      <c r="CR43" s="77"/>
      <c r="CS43" s="77"/>
    </row>
    <row r="44" spans="2:97" x14ac:dyDescent="0.2">
      <c r="B44" s="309"/>
      <c r="C44" s="179" t="s">
        <v>60</v>
      </c>
      <c r="D44" s="180">
        <v>100000</v>
      </c>
      <c r="E44" s="181">
        <v>25000</v>
      </c>
      <c r="F44" s="182">
        <f t="shared" si="61"/>
        <v>9000</v>
      </c>
      <c r="G44" s="183" t="str">
        <f t="shared" si="62"/>
        <v/>
      </c>
      <c r="H44" s="181" t="str">
        <f t="shared" si="58"/>
        <v/>
      </c>
      <c r="I44" s="181" t="str">
        <f t="shared" si="63"/>
        <v/>
      </c>
      <c r="J44" s="184">
        <f t="shared" si="64"/>
        <v>9000</v>
      </c>
      <c r="K44" s="182">
        <f t="shared" si="77"/>
        <v>1000</v>
      </c>
      <c r="L44" s="183" t="str">
        <f t="shared" si="59"/>
        <v>LLP 18</v>
      </c>
      <c r="M44" s="181">
        <f t="shared" si="60"/>
        <v>100000</v>
      </c>
      <c r="N44" s="181">
        <f t="shared" si="65"/>
        <v>-4000</v>
      </c>
      <c r="O44" s="184">
        <f t="shared" si="66"/>
        <v>25000</v>
      </c>
      <c r="P44" s="182">
        <f t="shared" si="67"/>
        <v>17000</v>
      </c>
      <c r="Q44" s="179" t="str">
        <f t="shared" si="68"/>
        <v/>
      </c>
      <c r="R44" s="181" t="str">
        <f t="shared" si="69"/>
        <v/>
      </c>
      <c r="S44" s="181" t="str">
        <f t="shared" si="70"/>
        <v/>
      </c>
      <c r="T44" s="184">
        <f t="shared" si="71"/>
        <v>17000</v>
      </c>
      <c r="U44" s="185">
        <f t="shared" si="72"/>
        <v>9000</v>
      </c>
      <c r="V44" s="186" t="str">
        <f t="shared" si="73"/>
        <v/>
      </c>
      <c r="W44" s="185" t="str">
        <f t="shared" si="74"/>
        <v/>
      </c>
      <c r="X44" s="185" t="str">
        <f t="shared" si="75"/>
        <v/>
      </c>
      <c r="Y44" s="187">
        <f t="shared" si="76"/>
        <v>9000</v>
      </c>
      <c r="CG44" s="77"/>
      <c r="CH44" s="77"/>
      <c r="CI44" s="77"/>
      <c r="CJ44" s="77"/>
      <c r="CK44" s="77"/>
      <c r="CL44" s="77"/>
      <c r="CM44" s="77"/>
      <c r="CN44" s="77"/>
      <c r="CO44" s="77"/>
      <c r="CP44" s="77"/>
      <c r="CQ44" s="77"/>
      <c r="CR44" s="77"/>
      <c r="CS44" s="77"/>
    </row>
    <row r="45" spans="2:97" x14ac:dyDescent="0.2">
      <c r="B45" s="102"/>
      <c r="C45" s="188" t="s">
        <v>131</v>
      </c>
      <c r="D45" s="189">
        <f>SUM(D27:D44)</f>
        <v>2500000</v>
      </c>
      <c r="E45" s="190"/>
      <c r="F45" s="191"/>
      <c r="G45" s="103"/>
      <c r="H45" s="189">
        <f>SUM(H27:H44)</f>
        <v>1300000</v>
      </c>
      <c r="I45" s="189">
        <f>SUM(I27:I44)</f>
        <v>-260000</v>
      </c>
      <c r="J45" s="192"/>
      <c r="K45" s="190"/>
      <c r="L45" s="103"/>
      <c r="M45" s="189">
        <f>SUM(M27:M44)</f>
        <v>1200000</v>
      </c>
      <c r="N45" s="189">
        <f>SUM(N27:N44)</f>
        <v>-144000</v>
      </c>
      <c r="O45" s="192"/>
      <c r="P45" s="190"/>
      <c r="Q45" s="103"/>
      <c r="R45" s="189">
        <f>SUM(R27:R44)</f>
        <v>1300000</v>
      </c>
      <c r="S45" s="189">
        <f>SUM(S27:S44)</f>
        <v>-260000</v>
      </c>
      <c r="T45" s="192"/>
      <c r="U45" s="193"/>
      <c r="V45" s="193"/>
      <c r="W45" s="189">
        <f>SUM(W27:W44)</f>
        <v>0</v>
      </c>
      <c r="X45" s="189">
        <f>SUM(X27:X44)</f>
        <v>0</v>
      </c>
      <c r="Y45" s="193"/>
      <c r="CG45" s="77"/>
      <c r="CH45" s="77"/>
      <c r="CI45" s="77"/>
      <c r="CJ45" s="77"/>
      <c r="CK45" s="77"/>
      <c r="CL45" s="77"/>
      <c r="CM45" s="77"/>
      <c r="CN45" s="77"/>
      <c r="CO45" s="77"/>
      <c r="CP45" s="77"/>
      <c r="CQ45" s="77"/>
      <c r="CR45" s="77"/>
      <c r="CS45" s="77"/>
    </row>
    <row r="46" spans="2:97" x14ac:dyDescent="0.2">
      <c r="B46" s="218"/>
      <c r="C46" s="194" t="s">
        <v>132</v>
      </c>
      <c r="D46" s="195"/>
      <c r="E46" s="195"/>
      <c r="F46" s="196"/>
      <c r="G46" s="197"/>
      <c r="H46" s="195">
        <f>IF(I12="",0,IF(H44="",VLOOKUP(D10,$AC$8:$AW$38,6,FALSE),1.025*VLOOKUP(D10,$AC$8:$AW$38,6,FALSE)))</f>
        <v>2400000</v>
      </c>
      <c r="I46" s="195"/>
      <c r="J46" s="198"/>
      <c r="K46" s="195"/>
      <c r="L46" s="197"/>
      <c r="M46" s="195">
        <f>IF(N12="",0,IF(M44="",VLOOKUP(D10,$AC$8:$AW$38,10,FALSE),1.025*VLOOKUP(D10,$AC$8:$AW$38,10,FALSE)))</f>
        <v>2562500</v>
      </c>
      <c r="N46" s="195"/>
      <c r="O46" s="198"/>
      <c r="P46" s="195"/>
      <c r="Q46" s="197"/>
      <c r="R46" s="195">
        <f>IF(S12="",0,IF(R44="",VLOOKUP(D10,$AC$8:$AW$38,14,FALSE),1.025*VLOOKUP(D10,$AC$8:$AW$38,14,FALSE)))</f>
        <v>2500000</v>
      </c>
      <c r="S46" s="195"/>
      <c r="T46" s="198"/>
      <c r="U46" s="199"/>
      <c r="V46" s="199"/>
      <c r="W46" s="199">
        <f>IF(X12="",0,IF(W44="",VLOOKUP(D10,$AC$8:$AW$38,18,FALSE),1.025*VLOOKUP(D10,$AC$8:$AW$38,18,FALSE)))</f>
        <v>2500000</v>
      </c>
      <c r="X46" s="199"/>
      <c r="Y46" s="199"/>
      <c r="CG46" s="77"/>
      <c r="CH46" s="77"/>
      <c r="CI46" s="77"/>
      <c r="CJ46" s="77"/>
      <c r="CK46" s="77"/>
      <c r="CL46" s="77"/>
      <c r="CM46" s="77"/>
      <c r="CN46" s="77"/>
      <c r="CO46" s="77"/>
      <c r="CP46" s="77"/>
      <c r="CQ46" s="77"/>
      <c r="CR46" s="77"/>
      <c r="CS46" s="77"/>
    </row>
    <row r="47" spans="2:97" x14ac:dyDescent="0.2">
      <c r="B47" s="219"/>
      <c r="C47" s="200" t="s">
        <v>133</v>
      </c>
      <c r="D47" s="201"/>
      <c r="E47" s="201"/>
      <c r="F47" s="202"/>
      <c r="G47" s="203"/>
      <c r="H47" s="204">
        <f>SUM(H45:H46)</f>
        <v>3700000</v>
      </c>
      <c r="I47" s="205"/>
      <c r="J47" s="206"/>
      <c r="K47" s="205"/>
      <c r="L47" s="207"/>
      <c r="M47" s="204">
        <f>SUM(M45:M46)</f>
        <v>3762500</v>
      </c>
      <c r="N47" s="205"/>
      <c r="O47" s="206"/>
      <c r="P47" s="205"/>
      <c r="Q47" s="207"/>
      <c r="R47" s="204">
        <f>SUM(R45:R46)</f>
        <v>3800000</v>
      </c>
      <c r="S47" s="201"/>
      <c r="T47" s="208"/>
      <c r="U47" s="209"/>
      <c r="V47" s="209"/>
      <c r="W47" s="204">
        <f>SUM(W45:W46)</f>
        <v>2500000</v>
      </c>
      <c r="X47" s="209"/>
      <c r="Y47" s="209"/>
      <c r="CG47" s="77"/>
      <c r="CH47" s="77"/>
      <c r="CI47" s="77"/>
      <c r="CJ47" s="77"/>
      <c r="CK47" s="77"/>
      <c r="CL47" s="77"/>
      <c r="CM47" s="77"/>
      <c r="CN47" s="77"/>
      <c r="CO47" s="77"/>
      <c r="CP47" s="77"/>
      <c r="CQ47" s="77"/>
      <c r="CR47" s="77"/>
      <c r="CS47" s="77"/>
    </row>
    <row r="48" spans="2:97" x14ac:dyDescent="0.2">
      <c r="B48" s="80"/>
      <c r="C48" s="81"/>
      <c r="D48" s="81"/>
      <c r="E48" s="81"/>
      <c r="F48" s="81"/>
      <c r="G48" s="81"/>
      <c r="H48" s="81"/>
      <c r="I48" s="81"/>
      <c r="J48" s="81"/>
      <c r="K48" s="81"/>
      <c r="L48" s="81"/>
      <c r="M48" s="81"/>
      <c r="N48" s="81"/>
      <c r="O48" s="81"/>
      <c r="P48" s="81"/>
      <c r="Q48" s="81"/>
      <c r="R48" s="81"/>
      <c r="S48" s="81"/>
      <c r="T48" s="81"/>
      <c r="U48" s="81"/>
      <c r="V48" s="81"/>
      <c r="W48" s="81"/>
      <c r="X48" s="81"/>
      <c r="Y48" s="153"/>
      <c r="CG48" s="77"/>
      <c r="CH48" s="77"/>
      <c r="CI48" s="77"/>
      <c r="CJ48" s="77"/>
      <c r="CK48" s="77"/>
      <c r="CL48" s="77"/>
      <c r="CM48" s="77"/>
      <c r="CN48" s="77"/>
      <c r="CO48" s="77"/>
      <c r="CP48" s="77"/>
      <c r="CQ48" s="77"/>
      <c r="CR48" s="77"/>
      <c r="CS48" s="77"/>
    </row>
    <row r="49" spans="2:97" x14ac:dyDescent="0.2">
      <c r="B49" s="84"/>
      <c r="C49" s="210" t="s">
        <v>134</v>
      </c>
      <c r="D49" s="85"/>
      <c r="E49" s="85"/>
      <c r="F49" s="85"/>
      <c r="G49" s="85"/>
      <c r="H49" s="85"/>
      <c r="I49" s="85"/>
      <c r="J49" s="85"/>
      <c r="K49" s="85"/>
      <c r="L49" s="85"/>
      <c r="M49" s="85"/>
      <c r="N49" s="85"/>
      <c r="O49" s="85"/>
      <c r="P49" s="210"/>
      <c r="Q49" s="210" t="s">
        <v>135</v>
      </c>
      <c r="R49" s="210"/>
      <c r="S49" s="210"/>
      <c r="T49" s="85"/>
      <c r="U49" s="85"/>
      <c r="V49" s="85"/>
      <c r="W49" s="85"/>
      <c r="X49" s="85"/>
      <c r="Y49" s="157"/>
      <c r="CG49" s="77"/>
      <c r="CH49" s="77"/>
      <c r="CI49" s="77"/>
      <c r="CJ49" s="77"/>
      <c r="CK49" s="77"/>
      <c r="CL49" s="77"/>
      <c r="CM49" s="77"/>
      <c r="CN49" s="77"/>
      <c r="CO49" s="77"/>
      <c r="CP49" s="77"/>
      <c r="CQ49" s="77"/>
      <c r="CR49" s="77"/>
      <c r="CS49" s="77"/>
    </row>
    <row r="50" spans="2:97" x14ac:dyDescent="0.2">
      <c r="B50" s="84"/>
      <c r="C50" s="211" t="s">
        <v>136</v>
      </c>
      <c r="D50" s="85"/>
      <c r="E50" s="85"/>
      <c r="F50" s="85"/>
      <c r="G50" s="85"/>
      <c r="H50" s="85"/>
      <c r="I50" s="85"/>
      <c r="J50" s="85"/>
      <c r="K50" s="85"/>
      <c r="L50" s="85"/>
      <c r="M50" s="85"/>
      <c r="N50" s="85"/>
      <c r="O50" s="85"/>
      <c r="P50" s="85"/>
      <c r="Q50" s="85"/>
      <c r="R50" s="85"/>
      <c r="S50" s="85"/>
      <c r="T50" s="85"/>
      <c r="U50" s="85"/>
      <c r="V50" s="85"/>
      <c r="W50" s="85"/>
      <c r="X50" s="85"/>
      <c r="Y50" s="157"/>
      <c r="CG50" s="77"/>
      <c r="CH50" s="77"/>
      <c r="CI50" s="77"/>
      <c r="CJ50" s="77"/>
      <c r="CK50" s="77"/>
      <c r="CL50" s="77"/>
      <c r="CM50" s="77"/>
      <c r="CN50" s="77"/>
      <c r="CO50" s="77"/>
      <c r="CP50" s="77"/>
      <c r="CQ50" s="77"/>
      <c r="CR50" s="77"/>
      <c r="CS50" s="77"/>
    </row>
    <row r="51" spans="2:97" x14ac:dyDescent="0.2">
      <c r="B51" s="84"/>
      <c r="C51" s="212" t="s">
        <v>137</v>
      </c>
      <c r="D51" s="85"/>
      <c r="E51" s="85"/>
      <c r="F51" s="85"/>
      <c r="G51" s="85"/>
      <c r="H51" s="85"/>
      <c r="I51" s="85"/>
      <c r="J51" s="85"/>
      <c r="K51" s="85"/>
      <c r="L51" s="85"/>
      <c r="M51" s="85"/>
      <c r="N51" s="85"/>
      <c r="O51" s="85"/>
      <c r="P51" s="85"/>
      <c r="Q51" s="85"/>
      <c r="R51" s="85"/>
      <c r="S51" s="85"/>
      <c r="T51" s="85"/>
      <c r="U51" s="85"/>
      <c r="V51" s="85"/>
      <c r="W51" s="213"/>
      <c r="X51" s="85"/>
      <c r="Y51" s="157"/>
      <c r="CG51" s="77"/>
      <c r="CH51" s="77"/>
      <c r="CI51" s="77"/>
      <c r="CJ51" s="77"/>
      <c r="CK51" s="77"/>
      <c r="CL51" s="77"/>
      <c r="CM51" s="77"/>
      <c r="CN51" s="77"/>
      <c r="CO51" s="77"/>
      <c r="CP51" s="77"/>
      <c r="CQ51" s="77"/>
      <c r="CR51" s="77"/>
      <c r="CS51" s="77"/>
    </row>
    <row r="52" spans="2:97" x14ac:dyDescent="0.2">
      <c r="B52" s="84"/>
      <c r="C52" s="212" t="s">
        <v>138</v>
      </c>
      <c r="D52" s="85"/>
      <c r="E52" s="85"/>
      <c r="F52" s="85"/>
      <c r="G52" s="85"/>
      <c r="H52" s="85"/>
      <c r="I52" s="85"/>
      <c r="J52" s="85"/>
      <c r="K52" s="85"/>
      <c r="L52" s="85"/>
      <c r="M52" s="85"/>
      <c r="N52" s="85"/>
      <c r="O52" s="85"/>
      <c r="P52" s="85"/>
      <c r="Q52" s="85"/>
      <c r="R52" s="85"/>
      <c r="S52" s="85"/>
      <c r="T52" s="85"/>
      <c r="U52" s="85"/>
      <c r="V52" s="85"/>
      <c r="W52" s="85"/>
      <c r="X52" s="85"/>
      <c r="Y52" s="157"/>
      <c r="CG52" s="77"/>
      <c r="CH52" s="77"/>
      <c r="CI52" s="77"/>
      <c r="CJ52" s="77"/>
      <c r="CK52" s="77"/>
      <c r="CL52" s="77"/>
      <c r="CM52" s="77"/>
      <c r="CN52" s="77"/>
      <c r="CO52" s="77"/>
      <c r="CP52" s="77"/>
      <c r="CQ52" s="77"/>
      <c r="CR52" s="77"/>
      <c r="CS52" s="77"/>
    </row>
    <row r="53" spans="2:97" x14ac:dyDescent="0.2">
      <c r="B53" s="84"/>
      <c r="C53" s="212" t="s">
        <v>139</v>
      </c>
      <c r="D53" s="85"/>
      <c r="E53" s="85"/>
      <c r="F53" s="85"/>
      <c r="G53" s="85"/>
      <c r="H53" s="85"/>
      <c r="I53" s="85"/>
      <c r="J53" s="85"/>
      <c r="K53" s="85"/>
      <c r="L53" s="85"/>
      <c r="M53" s="85"/>
      <c r="N53" s="85"/>
      <c r="O53" s="85"/>
      <c r="P53" s="85"/>
      <c r="Q53" s="85"/>
      <c r="R53" s="85"/>
      <c r="S53" s="85"/>
      <c r="T53" s="85"/>
      <c r="U53" s="85"/>
      <c r="V53" s="85"/>
      <c r="W53" s="85"/>
      <c r="X53" s="85"/>
      <c r="Y53" s="157"/>
      <c r="CG53" s="77"/>
      <c r="CH53" s="77"/>
      <c r="CI53" s="77"/>
      <c r="CJ53" s="77"/>
      <c r="CK53" s="77"/>
      <c r="CL53" s="77"/>
      <c r="CM53" s="77"/>
      <c r="CN53" s="77"/>
      <c r="CO53" s="77"/>
      <c r="CP53" s="77"/>
      <c r="CQ53" s="77"/>
      <c r="CR53" s="77"/>
      <c r="CS53" s="77"/>
    </row>
    <row r="54" spans="2:97" x14ac:dyDescent="0.2">
      <c r="B54" s="84"/>
      <c r="C54" s="85"/>
      <c r="D54" s="85"/>
      <c r="E54" s="85"/>
      <c r="F54" s="85"/>
      <c r="G54" s="85"/>
      <c r="H54" s="85"/>
      <c r="I54" s="85"/>
      <c r="J54" s="85"/>
      <c r="K54" s="85"/>
      <c r="L54" s="85"/>
      <c r="M54" s="85"/>
      <c r="N54" s="85"/>
      <c r="O54" s="85"/>
      <c r="P54" s="85"/>
      <c r="Q54" s="85"/>
      <c r="R54" s="85"/>
      <c r="S54" s="85"/>
      <c r="T54" s="85"/>
      <c r="U54" s="85"/>
      <c r="V54" s="85"/>
      <c r="W54" s="85"/>
      <c r="X54" s="85"/>
      <c r="Y54" s="157"/>
      <c r="CG54" s="77"/>
      <c r="CH54" s="77"/>
      <c r="CI54" s="77"/>
      <c r="CJ54" s="77"/>
      <c r="CK54" s="77"/>
      <c r="CL54" s="77"/>
      <c r="CM54" s="77"/>
      <c r="CN54" s="77"/>
      <c r="CO54" s="77"/>
      <c r="CP54" s="77"/>
      <c r="CQ54" s="77"/>
      <c r="CR54" s="77"/>
      <c r="CS54" s="77"/>
    </row>
    <row r="55" spans="2:97" x14ac:dyDescent="0.2">
      <c r="B55" s="84"/>
      <c r="C55" s="212" t="s">
        <v>140</v>
      </c>
      <c r="D55" s="85"/>
      <c r="E55" s="85"/>
      <c r="F55" s="85"/>
      <c r="G55" s="85"/>
      <c r="H55" s="85"/>
      <c r="I55" s="85"/>
      <c r="J55" s="85"/>
      <c r="K55" s="85"/>
      <c r="L55" s="85"/>
      <c r="M55" s="85"/>
      <c r="N55" s="85"/>
      <c r="O55" s="85"/>
      <c r="P55" s="85"/>
      <c r="Q55" s="85"/>
      <c r="R55" s="85"/>
      <c r="S55" s="85"/>
      <c r="T55" s="85"/>
      <c r="U55" s="85"/>
      <c r="V55" s="85"/>
      <c r="W55" s="85"/>
      <c r="X55" s="85"/>
      <c r="Y55" s="157"/>
      <c r="CG55" s="77"/>
      <c r="CH55" s="77"/>
      <c r="CI55" s="77"/>
      <c r="CJ55" s="77"/>
      <c r="CK55" s="77"/>
      <c r="CL55" s="77"/>
      <c r="CM55" s="77"/>
      <c r="CN55" s="77"/>
      <c r="CO55" s="77"/>
      <c r="CP55" s="77"/>
      <c r="CQ55" s="77"/>
      <c r="CR55" s="77"/>
      <c r="CS55" s="77"/>
    </row>
    <row r="56" spans="2:97" x14ac:dyDescent="0.2">
      <c r="B56" s="84"/>
      <c r="C56" s="212" t="s">
        <v>141</v>
      </c>
      <c r="D56" s="85"/>
      <c r="E56" s="85"/>
      <c r="F56" s="85"/>
      <c r="G56" s="85"/>
      <c r="H56" s="85"/>
      <c r="I56" s="85"/>
      <c r="J56" s="85"/>
      <c r="K56" s="85"/>
      <c r="L56" s="85"/>
      <c r="M56" s="85"/>
      <c r="N56" s="85"/>
      <c r="O56" s="85"/>
      <c r="P56" s="85"/>
      <c r="Q56" s="85"/>
      <c r="R56" s="85"/>
      <c r="S56" s="85"/>
      <c r="T56" s="85"/>
      <c r="U56" s="85"/>
      <c r="V56" s="85"/>
      <c r="W56" s="85"/>
      <c r="X56" s="85"/>
      <c r="Y56" s="157"/>
      <c r="CG56" s="77"/>
      <c r="CH56" s="77"/>
      <c r="CI56" s="77"/>
      <c r="CJ56" s="77"/>
      <c r="CK56" s="77"/>
      <c r="CL56" s="77"/>
      <c r="CM56" s="77"/>
      <c r="CN56" s="77"/>
      <c r="CO56" s="77"/>
      <c r="CP56" s="77"/>
      <c r="CQ56" s="77"/>
      <c r="CR56" s="77"/>
      <c r="CS56" s="77"/>
    </row>
    <row r="57" spans="2:97" x14ac:dyDescent="0.2">
      <c r="B57" s="84"/>
      <c r="C57" s="85"/>
      <c r="D57" s="85"/>
      <c r="E57" s="85"/>
      <c r="F57" s="85"/>
      <c r="G57" s="85"/>
      <c r="H57" s="85"/>
      <c r="I57" s="85"/>
      <c r="J57" s="85"/>
      <c r="K57" s="85"/>
      <c r="L57" s="85"/>
      <c r="M57" s="85"/>
      <c r="N57" s="85"/>
      <c r="O57" s="85"/>
      <c r="P57" s="85"/>
      <c r="Q57" s="85"/>
      <c r="R57" s="85"/>
      <c r="S57" s="85"/>
      <c r="T57" s="85"/>
      <c r="U57" s="85"/>
      <c r="V57" s="85"/>
      <c r="W57" s="85"/>
      <c r="X57" s="85"/>
      <c r="Y57" s="157"/>
      <c r="CG57" s="77"/>
      <c r="CH57" s="77"/>
      <c r="CI57" s="77"/>
      <c r="CJ57" s="77"/>
      <c r="CK57" s="77"/>
      <c r="CL57" s="77"/>
      <c r="CM57" s="77"/>
      <c r="CN57" s="77"/>
      <c r="CO57" s="77"/>
      <c r="CP57" s="77"/>
      <c r="CQ57" s="77"/>
      <c r="CR57" s="77"/>
      <c r="CS57" s="77"/>
    </row>
    <row r="58" spans="2:97" x14ac:dyDescent="0.2">
      <c r="B58" s="84"/>
      <c r="C58" s="212" t="s">
        <v>142</v>
      </c>
      <c r="D58" s="85"/>
      <c r="E58" s="85"/>
      <c r="F58" s="85"/>
      <c r="G58" s="85"/>
      <c r="H58" s="85"/>
      <c r="I58" s="85"/>
      <c r="J58" s="85"/>
      <c r="K58" s="85"/>
      <c r="L58" s="85"/>
      <c r="M58" s="85"/>
      <c r="N58" s="85"/>
      <c r="O58" s="85"/>
      <c r="P58" s="85"/>
      <c r="Q58" s="85"/>
      <c r="R58" s="85"/>
      <c r="S58" s="85"/>
      <c r="T58" s="85"/>
      <c r="U58" s="85"/>
      <c r="V58" s="85"/>
      <c r="W58" s="85"/>
      <c r="X58" s="85"/>
      <c r="Y58" s="157"/>
      <c r="CG58" s="77"/>
      <c r="CH58" s="77"/>
      <c r="CI58" s="77"/>
      <c r="CJ58" s="77"/>
      <c r="CK58" s="77"/>
      <c r="CL58" s="77"/>
      <c r="CM58" s="77"/>
      <c r="CN58" s="77"/>
      <c r="CO58" s="77"/>
      <c r="CP58" s="77"/>
      <c r="CQ58" s="77"/>
      <c r="CR58" s="77"/>
      <c r="CS58" s="77"/>
    </row>
    <row r="59" spans="2:97" x14ac:dyDescent="0.2">
      <c r="B59" s="84"/>
      <c r="C59" s="212" t="s">
        <v>143</v>
      </c>
      <c r="D59" s="85"/>
      <c r="E59" s="85"/>
      <c r="F59" s="85"/>
      <c r="G59" s="85"/>
      <c r="H59" s="85"/>
      <c r="I59" s="85"/>
      <c r="J59" s="85"/>
      <c r="K59" s="85"/>
      <c r="L59" s="85"/>
      <c r="M59" s="85"/>
      <c r="N59" s="85"/>
      <c r="O59" s="85"/>
      <c r="P59" s="85"/>
      <c r="Q59" s="85"/>
      <c r="R59" s="85"/>
      <c r="S59" s="85"/>
      <c r="T59" s="85"/>
      <c r="U59" s="85"/>
      <c r="V59" s="85"/>
      <c r="W59" s="85"/>
      <c r="X59" s="85"/>
      <c r="Y59" s="157"/>
      <c r="CG59" s="77"/>
      <c r="CH59" s="77"/>
      <c r="CI59" s="77"/>
      <c r="CJ59" s="77"/>
      <c r="CK59" s="77"/>
      <c r="CL59" s="77"/>
      <c r="CM59" s="77"/>
      <c r="CN59" s="77"/>
      <c r="CO59" s="77"/>
      <c r="CP59" s="77"/>
      <c r="CQ59" s="77"/>
      <c r="CR59" s="77"/>
      <c r="CS59" s="77"/>
    </row>
    <row r="60" spans="2:97" x14ac:dyDescent="0.2">
      <c r="B60" s="84"/>
      <c r="C60" s="212" t="s">
        <v>144</v>
      </c>
      <c r="D60" s="85"/>
      <c r="E60" s="85"/>
      <c r="F60" s="85"/>
      <c r="G60" s="85"/>
      <c r="H60" s="85"/>
      <c r="I60" s="85"/>
      <c r="J60" s="85"/>
      <c r="K60" s="85"/>
      <c r="L60" s="85"/>
      <c r="M60" s="85"/>
      <c r="N60" s="85"/>
      <c r="O60" s="85"/>
      <c r="P60" s="85"/>
      <c r="Q60" s="85"/>
      <c r="R60" s="85"/>
      <c r="S60" s="85"/>
      <c r="T60" s="85"/>
      <c r="U60" s="85"/>
      <c r="V60" s="85"/>
      <c r="W60" s="85"/>
      <c r="X60" s="85"/>
      <c r="Y60" s="157"/>
      <c r="AC60" s="36"/>
      <c r="AD60" s="132"/>
      <c r="AE60" s="132"/>
      <c r="AF60" s="132"/>
      <c r="AG60" s="132"/>
      <c r="AH60" s="126"/>
      <c r="AI60" s="36"/>
      <c r="AJ60" s="126"/>
      <c r="AK60" s="126"/>
      <c r="AL60" s="126"/>
      <c r="AM60" s="36"/>
      <c r="AN60" s="126"/>
      <c r="AO60" s="126"/>
      <c r="BZ60" s="177"/>
      <c r="CA60" s="178"/>
      <c r="CB60" s="177"/>
      <c r="CC60" s="177"/>
      <c r="CD60" s="177"/>
      <c r="CE60" s="146"/>
      <c r="CF60" s="146"/>
      <c r="CG60" s="77"/>
      <c r="CH60" s="77"/>
      <c r="CI60" s="77"/>
      <c r="CJ60" s="77"/>
      <c r="CK60" s="77"/>
      <c r="CL60" s="77"/>
      <c r="CM60" s="77"/>
      <c r="CN60" s="77"/>
      <c r="CO60" s="77"/>
      <c r="CP60" s="77"/>
      <c r="CQ60" s="77"/>
      <c r="CR60" s="77"/>
      <c r="CS60" s="77"/>
    </row>
    <row r="61" spans="2:97" x14ac:dyDescent="0.2">
      <c r="B61" s="84"/>
      <c r="C61" s="212" t="s">
        <v>145</v>
      </c>
      <c r="D61" s="85"/>
      <c r="E61" s="85"/>
      <c r="F61" s="85"/>
      <c r="G61" s="85"/>
      <c r="H61" s="85"/>
      <c r="I61" s="85"/>
      <c r="J61" s="85"/>
      <c r="K61" s="85"/>
      <c r="L61" s="85"/>
      <c r="M61" s="85"/>
      <c r="N61" s="85"/>
      <c r="O61" s="85"/>
      <c r="P61" s="85"/>
      <c r="Q61" s="85"/>
      <c r="R61" s="85"/>
      <c r="S61" s="85"/>
      <c r="T61" s="85"/>
      <c r="U61" s="85"/>
      <c r="V61" s="85"/>
      <c r="W61" s="85"/>
      <c r="X61" s="85"/>
      <c r="Y61" s="157"/>
      <c r="AC61" s="36"/>
      <c r="AD61" s="132"/>
      <c r="AE61" s="132"/>
      <c r="AF61" s="132"/>
      <c r="AG61" s="132"/>
      <c r="AH61" s="126"/>
      <c r="AI61" s="36"/>
      <c r="AJ61" s="126"/>
      <c r="AK61" s="126"/>
      <c r="AL61" s="126"/>
      <c r="AM61" s="36"/>
      <c r="AN61" s="126"/>
      <c r="AO61" s="126"/>
      <c r="BZ61" s="141"/>
      <c r="CA61" s="129"/>
      <c r="CB61" s="141"/>
      <c r="CC61" s="141"/>
      <c r="CD61" s="141"/>
      <c r="CE61" s="108"/>
      <c r="CF61" s="108"/>
      <c r="CG61" s="77"/>
      <c r="CH61" s="77"/>
      <c r="CI61" s="77"/>
      <c r="CJ61" s="77"/>
      <c r="CK61" s="77"/>
      <c r="CL61" s="77"/>
      <c r="CM61" s="77"/>
      <c r="CN61" s="77"/>
      <c r="CO61" s="77"/>
      <c r="CP61" s="77"/>
      <c r="CQ61" s="77"/>
      <c r="CR61" s="77"/>
      <c r="CS61" s="77"/>
    </row>
    <row r="62" spans="2:97" x14ac:dyDescent="0.2">
      <c r="B62" s="84"/>
      <c r="C62" s="85"/>
      <c r="D62" s="85"/>
      <c r="E62" s="85"/>
      <c r="F62" s="85"/>
      <c r="G62" s="85"/>
      <c r="H62" s="85"/>
      <c r="I62" s="85"/>
      <c r="J62" s="85"/>
      <c r="K62" s="85"/>
      <c r="L62" s="85"/>
      <c r="M62" s="85"/>
      <c r="N62" s="85"/>
      <c r="O62" s="85"/>
      <c r="P62" s="85"/>
      <c r="Q62" s="85"/>
      <c r="R62" s="85"/>
      <c r="S62" s="85"/>
      <c r="T62" s="85"/>
      <c r="U62" s="85"/>
      <c r="V62" s="85"/>
      <c r="W62" s="85"/>
      <c r="X62" s="85"/>
      <c r="Y62" s="157"/>
      <c r="AC62" s="54"/>
      <c r="AD62" s="124"/>
      <c r="AE62" s="124"/>
      <c r="AF62" s="124"/>
      <c r="AG62" s="124"/>
      <c r="AH62" s="125"/>
      <c r="AI62" s="54"/>
      <c r="AJ62" s="125"/>
      <c r="AK62" s="125"/>
      <c r="AL62" s="125"/>
      <c r="AM62" s="54"/>
      <c r="AN62" s="125"/>
      <c r="AO62" s="125"/>
      <c r="BZ62" s="141"/>
      <c r="CA62" s="129"/>
      <c r="CB62" s="141"/>
      <c r="CC62" s="141"/>
      <c r="CD62" s="141"/>
      <c r="CE62" s="108"/>
      <c r="CF62" s="108"/>
      <c r="CG62" s="77"/>
      <c r="CH62" s="77"/>
      <c r="CI62" s="77"/>
      <c r="CJ62" s="77"/>
      <c r="CK62" s="77"/>
      <c r="CL62" s="77"/>
      <c r="CM62" s="77"/>
      <c r="CN62" s="77"/>
      <c r="CO62" s="77"/>
      <c r="CP62" s="77"/>
      <c r="CQ62" s="77"/>
      <c r="CR62" s="77"/>
      <c r="CS62" s="77"/>
    </row>
    <row r="63" spans="2:97" x14ac:dyDescent="0.2">
      <c r="B63" s="84"/>
      <c r="C63" s="212" t="s">
        <v>146</v>
      </c>
      <c r="D63" s="85"/>
      <c r="E63" s="85"/>
      <c r="F63" s="85"/>
      <c r="G63" s="85"/>
      <c r="H63" s="85"/>
      <c r="I63" s="85"/>
      <c r="J63" s="85"/>
      <c r="K63" s="85"/>
      <c r="L63" s="85"/>
      <c r="M63" s="85"/>
      <c r="N63" s="85"/>
      <c r="O63" s="85"/>
      <c r="P63" s="85"/>
      <c r="Q63" s="85"/>
      <c r="R63" s="85"/>
      <c r="S63" s="85"/>
      <c r="T63" s="85"/>
      <c r="U63" s="85"/>
      <c r="V63" s="85"/>
      <c r="W63" s="85"/>
      <c r="X63" s="85"/>
      <c r="Y63" s="157"/>
      <c r="AC63" s="36"/>
      <c r="AD63" s="132"/>
      <c r="AE63" s="132"/>
      <c r="AF63" s="132"/>
      <c r="AG63" s="132"/>
      <c r="AH63" s="126"/>
      <c r="AI63" s="36"/>
      <c r="AJ63" s="126"/>
      <c r="AK63" s="126"/>
      <c r="AL63" s="126"/>
      <c r="AM63" s="36"/>
      <c r="AN63" s="126"/>
      <c r="AO63" s="126"/>
      <c r="BZ63" s="141"/>
      <c r="CA63" s="129"/>
      <c r="CB63" s="141"/>
      <c r="CC63" s="141"/>
      <c r="CD63" s="141"/>
      <c r="CE63" s="108"/>
      <c r="CF63" s="108"/>
      <c r="CG63" s="77"/>
      <c r="CH63" s="77"/>
      <c r="CI63" s="77"/>
      <c r="CJ63" s="77"/>
      <c r="CK63" s="77"/>
      <c r="CL63" s="77"/>
      <c r="CM63" s="77"/>
      <c r="CN63" s="77"/>
      <c r="CO63" s="77"/>
      <c r="CP63" s="77"/>
      <c r="CQ63" s="77"/>
      <c r="CR63" s="77"/>
      <c r="CS63" s="77"/>
    </row>
    <row r="64" spans="2:97" x14ac:dyDescent="0.2">
      <c r="B64" s="84"/>
      <c r="C64" s="212" t="s">
        <v>147</v>
      </c>
      <c r="D64" s="85"/>
      <c r="E64" s="85"/>
      <c r="F64" s="85"/>
      <c r="G64" s="85"/>
      <c r="H64" s="85"/>
      <c r="I64" s="85"/>
      <c r="J64" s="85"/>
      <c r="K64" s="85"/>
      <c r="L64" s="85"/>
      <c r="M64" s="85"/>
      <c r="N64" s="85"/>
      <c r="O64" s="85"/>
      <c r="P64" s="85"/>
      <c r="Q64" s="85"/>
      <c r="R64" s="85"/>
      <c r="S64" s="85"/>
      <c r="T64" s="85"/>
      <c r="U64" s="85"/>
      <c r="V64" s="85"/>
      <c r="W64" s="85"/>
      <c r="X64" s="85"/>
      <c r="Y64" s="157"/>
      <c r="CG64" s="77"/>
      <c r="CH64" s="77"/>
      <c r="CI64" s="77"/>
      <c r="CJ64" s="77"/>
      <c r="CK64" s="77"/>
      <c r="CL64" s="77"/>
      <c r="CM64" s="77"/>
      <c r="CN64" s="77"/>
      <c r="CO64" s="77"/>
      <c r="CP64" s="77"/>
      <c r="CQ64" s="77"/>
      <c r="CR64" s="77"/>
      <c r="CS64" s="77"/>
    </row>
    <row r="65" spans="2:97" x14ac:dyDescent="0.2">
      <c r="B65" s="84"/>
      <c r="C65" s="212" t="s">
        <v>148</v>
      </c>
      <c r="D65" s="85"/>
      <c r="E65" s="85"/>
      <c r="F65" s="85"/>
      <c r="G65" s="85"/>
      <c r="H65" s="85"/>
      <c r="I65" s="85"/>
      <c r="J65" s="85"/>
      <c r="K65" s="85"/>
      <c r="L65" s="85"/>
      <c r="M65" s="85"/>
      <c r="N65" s="85"/>
      <c r="O65" s="85"/>
      <c r="P65" s="85"/>
      <c r="Q65" s="85"/>
      <c r="R65" s="85"/>
      <c r="S65" s="85"/>
      <c r="T65" s="85"/>
      <c r="U65" s="85"/>
      <c r="V65" s="85"/>
      <c r="W65" s="85"/>
      <c r="X65" s="85"/>
      <c r="Y65" s="157"/>
      <c r="CG65" s="77"/>
      <c r="CH65" s="77"/>
      <c r="CI65" s="77"/>
      <c r="CJ65" s="77"/>
      <c r="CK65" s="77"/>
      <c r="CL65" s="77"/>
      <c r="CM65" s="77"/>
      <c r="CN65" s="77"/>
      <c r="CO65" s="77"/>
      <c r="CP65" s="77"/>
      <c r="CQ65" s="77"/>
      <c r="CR65" s="77"/>
      <c r="CS65" s="77"/>
    </row>
    <row r="66" spans="2:97" x14ac:dyDescent="0.2">
      <c r="B66" s="84"/>
      <c r="C66" s="85"/>
      <c r="D66" s="85"/>
      <c r="E66" s="85"/>
      <c r="F66" s="85"/>
      <c r="G66" s="85"/>
      <c r="H66" s="85"/>
      <c r="I66" s="85"/>
      <c r="J66" s="85"/>
      <c r="K66" s="85"/>
      <c r="L66" s="85"/>
      <c r="M66" s="85"/>
      <c r="N66" s="85"/>
      <c r="O66" s="85"/>
      <c r="P66" s="85"/>
      <c r="Q66" s="85"/>
      <c r="R66" s="85"/>
      <c r="S66" s="85"/>
      <c r="T66" s="85"/>
      <c r="U66" s="85"/>
      <c r="V66" s="85"/>
      <c r="W66" s="85"/>
      <c r="X66" s="85"/>
      <c r="Y66" s="157"/>
      <c r="CG66" s="77"/>
      <c r="CH66" s="77"/>
      <c r="CI66" s="77"/>
      <c r="CJ66" s="77"/>
      <c r="CK66" s="77"/>
      <c r="CL66" s="77"/>
      <c r="CM66" s="77"/>
      <c r="CN66" s="77"/>
      <c r="CO66" s="77"/>
      <c r="CP66" s="77"/>
      <c r="CQ66" s="77"/>
      <c r="CR66" s="77"/>
      <c r="CS66" s="77"/>
    </row>
    <row r="67" spans="2:97" x14ac:dyDescent="0.2">
      <c r="B67" s="84"/>
      <c r="C67" s="210" t="s">
        <v>149</v>
      </c>
      <c r="D67" s="85"/>
      <c r="E67" s="85"/>
      <c r="F67" s="85"/>
      <c r="G67" s="85"/>
      <c r="H67" s="85"/>
      <c r="I67" s="85"/>
      <c r="J67" s="85"/>
      <c r="K67" s="85"/>
      <c r="L67" s="85"/>
      <c r="M67" s="85"/>
      <c r="N67" s="85"/>
      <c r="O67" s="85"/>
      <c r="P67" s="85"/>
      <c r="Q67" s="85"/>
      <c r="R67" s="85"/>
      <c r="S67" s="85"/>
      <c r="T67" s="85"/>
      <c r="U67" s="85"/>
      <c r="V67" s="85"/>
      <c r="W67" s="85"/>
      <c r="X67" s="85"/>
      <c r="Y67" s="157"/>
      <c r="CG67" s="77"/>
      <c r="CH67" s="77"/>
      <c r="CI67" s="77"/>
      <c r="CJ67" s="77"/>
      <c r="CK67" s="77"/>
      <c r="CL67" s="77"/>
      <c r="CM67" s="77"/>
      <c r="CN67" s="77"/>
      <c r="CO67" s="77"/>
      <c r="CP67" s="77"/>
      <c r="CQ67" s="77"/>
      <c r="CR67" s="77"/>
      <c r="CS67" s="77"/>
    </row>
    <row r="68" spans="2:97" x14ac:dyDescent="0.2">
      <c r="B68" s="84"/>
      <c r="C68" s="211" t="s">
        <v>150</v>
      </c>
      <c r="D68" s="85"/>
      <c r="E68" s="85"/>
      <c r="F68" s="85"/>
      <c r="G68" s="85"/>
      <c r="H68" s="85"/>
      <c r="I68" s="85"/>
      <c r="J68" s="85"/>
      <c r="K68" s="85"/>
      <c r="L68" s="85"/>
      <c r="M68" s="85"/>
      <c r="N68" s="85"/>
      <c r="O68" s="85"/>
      <c r="P68" s="85"/>
      <c r="Q68" s="85"/>
      <c r="R68" s="85"/>
      <c r="S68" s="85"/>
      <c r="T68" s="85"/>
      <c r="U68" s="85"/>
      <c r="V68" s="85"/>
      <c r="W68" s="85"/>
      <c r="X68" s="85"/>
      <c r="Y68" s="157"/>
      <c r="CG68" s="77"/>
      <c r="CH68" s="77"/>
      <c r="CI68" s="77"/>
      <c r="CJ68" s="77"/>
      <c r="CK68" s="77"/>
      <c r="CL68" s="77"/>
      <c r="CM68" s="77"/>
      <c r="CN68" s="77"/>
      <c r="CO68" s="77"/>
      <c r="CP68" s="77"/>
      <c r="CQ68" s="77"/>
      <c r="CR68" s="77"/>
      <c r="CS68" s="77"/>
    </row>
    <row r="69" spans="2:97" x14ac:dyDescent="0.2">
      <c r="B69" s="214"/>
      <c r="C69" s="215"/>
      <c r="D69" s="215"/>
      <c r="E69" s="215"/>
      <c r="F69" s="215"/>
      <c r="G69" s="215"/>
      <c r="H69" s="215"/>
      <c r="I69" s="215"/>
      <c r="J69" s="215"/>
      <c r="K69" s="215"/>
      <c r="L69" s="215"/>
      <c r="M69" s="215"/>
      <c r="N69" s="215"/>
      <c r="O69" s="215"/>
      <c r="P69" s="215"/>
      <c r="Q69" s="215"/>
      <c r="R69" s="215"/>
      <c r="S69" s="215"/>
      <c r="T69" s="215"/>
      <c r="U69" s="215"/>
      <c r="V69" s="215"/>
      <c r="W69" s="215"/>
      <c r="X69" s="215"/>
      <c r="Y69" s="216"/>
      <c r="CG69" s="77"/>
      <c r="CH69" s="77"/>
      <c r="CI69" s="77"/>
      <c r="CJ69" s="77"/>
      <c r="CK69" s="77"/>
      <c r="CL69" s="77"/>
      <c r="CM69" s="77"/>
      <c r="CN69" s="77"/>
      <c r="CO69" s="77"/>
      <c r="CP69" s="77"/>
      <c r="CQ69" s="77"/>
      <c r="CR69" s="77"/>
      <c r="CS69" s="77"/>
    </row>
    <row r="70" spans="2:97" x14ac:dyDescent="0.2">
      <c r="CG70" s="77"/>
      <c r="CH70" s="77"/>
      <c r="CI70" s="77"/>
      <c r="CJ70" s="77"/>
      <c r="CK70" s="77"/>
      <c r="CL70" s="77"/>
      <c r="CM70" s="77"/>
      <c r="CN70" s="77"/>
      <c r="CO70" s="77"/>
      <c r="CP70" s="77"/>
      <c r="CQ70" s="77"/>
      <c r="CR70" s="77"/>
      <c r="CS70" s="77"/>
    </row>
    <row r="71" spans="2:97" hidden="1" x14ac:dyDescent="0.2">
      <c r="CG71" s="77"/>
      <c r="CH71" s="77"/>
      <c r="CI71" s="77"/>
      <c r="CJ71" s="77"/>
      <c r="CK71" s="77"/>
      <c r="CL71" s="77"/>
      <c r="CM71" s="77"/>
      <c r="CN71" s="77"/>
      <c r="CO71" s="77"/>
      <c r="CP71" s="77"/>
      <c r="CQ71" s="77"/>
      <c r="CR71" s="77"/>
      <c r="CS71" s="77"/>
    </row>
  </sheetData>
  <sheetProtection password="FFBD" sheet="1" objects="1" scenarios="1"/>
  <mergeCells count="29">
    <mergeCell ref="B30:B34"/>
    <mergeCell ref="B35:B38"/>
    <mergeCell ref="B39:B44"/>
    <mergeCell ref="B17:B24"/>
    <mergeCell ref="F25:J25"/>
    <mergeCell ref="K25:O25"/>
    <mergeCell ref="P25:T25"/>
    <mergeCell ref="U25:Y25"/>
    <mergeCell ref="B27:B29"/>
    <mergeCell ref="BH6:BK6"/>
    <mergeCell ref="BM6:BP6"/>
    <mergeCell ref="BQ6:BT6"/>
    <mergeCell ref="BU6:BX6"/>
    <mergeCell ref="F7:F15"/>
    <mergeCell ref="K7:K15"/>
    <mergeCell ref="P7:P15"/>
    <mergeCell ref="U7:U15"/>
    <mergeCell ref="AH6:AK6"/>
    <mergeCell ref="AL6:AO6"/>
    <mergeCell ref="AP6:AS6"/>
    <mergeCell ref="AT6:AW6"/>
    <mergeCell ref="AZ6:BC6"/>
    <mergeCell ref="BD6:BG6"/>
    <mergeCell ref="AD6:AG6"/>
    <mergeCell ref="V5:Y5"/>
    <mergeCell ref="F6:J6"/>
    <mergeCell ref="K6:O6"/>
    <mergeCell ref="P6:T6"/>
    <mergeCell ref="U6:Y6"/>
  </mergeCells>
  <dataValidations count="5">
    <dataValidation type="list" allowBlank="1" showInputMessage="1" showErrorMessage="1" sqref="I12 N12 S12 X12">
      <formula1>$CC$8:$CC$20</formula1>
    </dataValidation>
    <dataValidation type="list" allowBlank="1" showInputMessage="1" showErrorMessage="1" sqref="D12">
      <formula1>$CB$8:$CB$28</formula1>
    </dataValidation>
    <dataValidation type="list" allowBlank="1" showInputMessage="1" showErrorMessage="1" sqref="D14:D15">
      <formula1>$CD$8:$CD$10</formula1>
    </dataValidation>
    <dataValidation type="list" allowBlank="1" showInputMessage="1" showErrorMessage="1" sqref="D8">
      <formula1>$BZ$8:$BZ$10</formula1>
    </dataValidation>
    <dataValidation type="list" allowBlank="1" showInputMessage="1" showErrorMessage="1" sqref="D10">
      <formula1>$CA$8:$CA$38</formula1>
    </dataValidation>
  </dataValidations>
  <printOptions horizontalCentered="1" verticalCentered="1"/>
  <pageMargins left="0.35" right="0.35" top="0.5" bottom="0.5" header="0.3" footer="0.3"/>
  <pageSetup scale="75" orientation="landscape" r:id="rId1"/>
  <ignoredErrors>
    <ignoredError sqref="Y21" formula="1"/>
    <ignoredError sqref="C21:X21" formula="1" unlockedFormula="1"/>
    <ignoredError sqref="C7:X7 C22:X22 C9:X9 C8 E8:X8 C11:X11 C10 E10:X10 C13:X13 C12 E12:H12 C15:X20 C14 E14:X14 J12:M12 O12:W1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SOURCE</vt:lpstr>
      <vt:lpstr>TUTORIAL</vt:lpstr>
      <vt:lpstr>ENGINE SV FORECASTER</vt:lpstr>
      <vt:lpstr>'ENGINE SV FORECASTER'!Print_Area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Ackert</dc:creator>
  <cp:lastModifiedBy>Shannon Ackert</cp:lastModifiedBy>
  <cp:lastPrinted>2012-12-27T01:26:20Z</cp:lastPrinted>
  <dcterms:created xsi:type="dcterms:W3CDTF">2012-12-27T00:47:36Z</dcterms:created>
  <dcterms:modified xsi:type="dcterms:W3CDTF">2012-12-27T15:32:16Z</dcterms:modified>
</cp:coreProperties>
</file>