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85" windowWidth="15315" windowHeight="7455" tabRatio="892" activeTab="1"/>
  </bookViews>
  <sheets>
    <sheet name="BACKGROUND" sheetId="2" r:id="rId1"/>
    <sheet name="LLP_EXPOSURE" sheetId="1" r:id="rId2"/>
  </sheets>
  <definedNames>
    <definedName name="Annual_FC">LLP_EXPOSURE!$H$6</definedName>
    <definedName name="Escalation">LLP_EXPOSURE!$J$6</definedName>
    <definedName name="LLP_Limiter">LLP_EXPOSURE!$F$6</definedName>
    <definedName name="_xlnm.Print_Area" localSheetId="0">BACKGROUND!$A$1:$Q$41</definedName>
    <definedName name="_xlnm.Print_Area" localSheetId="1">LLP_EXPOSURE!$A$1:$X$53</definedName>
    <definedName name="Stack_Cost">LLP_EXPOSURE!$D$6</definedName>
    <definedName name="Term">ROUNDUP(LLP_Limiter/Annual_FC,0)</definedName>
    <definedName name="Values_Actual">OFFSET(LLP_EXPOSURE!$H$11,,,COUNT(LLP_EXPOSURE!$H$11:$H$50))</definedName>
    <definedName name="Values_Period">OFFSET(LLP_EXPOSURE!$C$11,,,COUNT(LLP_EXPOSURE!$C$11:$C$50))</definedName>
    <definedName name="Values_Shortfall">OFFSET(LLP_EXPOSURE!$L$12,,,COUNT(LLP_EXPOSURE!$L$12:$L$51))</definedName>
    <definedName name="Values_Stack">OFFSET(LLP_EXPOSURE!$D$11,,,COUNT(LLP_EXPOSURE!$D$11:$D$50))</definedName>
    <definedName name="Values_Target">OFFSET(LLP_EXPOSURE!$I$11,,,COUNT(LLP_EXPOSURE!$I$11:$I$50))</definedName>
  </definedNames>
  <calcPr calcId="145621"/>
</workbook>
</file>

<file path=xl/calcChain.xml><?xml version="1.0" encoding="utf-8"?>
<calcChain xmlns="http://schemas.openxmlformats.org/spreadsheetml/2006/main">
  <c r="N23" i="2" l="1"/>
  <c r="M23" i="2"/>
  <c r="K23" i="2"/>
  <c r="J23" i="2"/>
  <c r="I23" i="2"/>
  <c r="H23" i="2"/>
  <c r="G23" i="2"/>
  <c r="F23" i="2"/>
  <c r="E23" i="2"/>
  <c r="D23" i="2"/>
  <c r="C17" i="2"/>
  <c r="C18" i="2" s="1"/>
  <c r="C19" i="2" s="1"/>
  <c r="C20" i="2" s="1"/>
  <c r="C21" i="2" s="1"/>
  <c r="C22" i="2" s="1"/>
  <c r="AI5" i="1" l="1"/>
  <c r="P24" i="1" l="1"/>
  <c r="T26" i="1"/>
  <c r="T24" i="1"/>
  <c r="S25" i="1" l="1"/>
  <c r="S26" i="1" s="1"/>
  <c r="O26" i="1"/>
  <c r="D11" i="1"/>
  <c r="E11" i="1" s="1"/>
  <c r="G11" i="1" s="1"/>
  <c r="AD4" i="1" l="1"/>
  <c r="AC4" i="1"/>
  <c r="AB4" i="1"/>
  <c r="AK9" i="1"/>
  <c r="AK8" i="1"/>
  <c r="AL7" i="1"/>
  <c r="AM10" i="1"/>
  <c r="AM9" i="1"/>
  <c r="AM5" i="1"/>
  <c r="AM6" i="1" s="1"/>
  <c r="AM7" i="1" s="1"/>
  <c r="AM8" i="1" s="1"/>
  <c r="AK5" i="1"/>
  <c r="AK6" i="1" s="1"/>
  <c r="AK7" i="1" s="1"/>
  <c r="AL5" i="1"/>
  <c r="AL6" i="1" s="1"/>
  <c r="AD5" i="1"/>
  <c r="AH5" i="1"/>
  <c r="AH6" i="1" s="1"/>
  <c r="AG5" i="1"/>
  <c r="AB5" i="1" s="1"/>
  <c r="AG6" i="1" l="1"/>
  <c r="AG7" i="1" s="1"/>
  <c r="AI6" i="1"/>
  <c r="AD6" i="1" s="1"/>
  <c r="AC6" i="1"/>
  <c r="AH7" i="1"/>
  <c r="AC7" i="1" s="1"/>
  <c r="AC5" i="1"/>
  <c r="AG8" i="1" l="1"/>
  <c r="AB8" i="1" s="1"/>
  <c r="AB7" i="1"/>
  <c r="AB6" i="1"/>
  <c r="AI7" i="1"/>
  <c r="AI8" i="1" s="1"/>
  <c r="AD8" i="1" s="1"/>
  <c r="O25" i="1"/>
  <c r="O24" i="1"/>
  <c r="B8" i="1"/>
  <c r="B9" i="1"/>
  <c r="AD7" i="1" l="1"/>
  <c r="AE5" i="1"/>
  <c r="AE6" i="1" s="1"/>
  <c r="AE7" i="1" s="1"/>
  <c r="AE8" i="1" s="1"/>
  <c r="AE9" i="1" s="1"/>
  <c r="AE10" i="1" s="1"/>
  <c r="F11" i="1" l="1"/>
  <c r="C12" i="1" s="1"/>
  <c r="D12" i="1" l="1"/>
  <c r="B12" i="1"/>
  <c r="H11" i="1"/>
  <c r="F12" i="1" l="1"/>
  <c r="C13" i="1" s="1"/>
  <c r="I11" i="1"/>
  <c r="K11" i="1" s="1"/>
  <c r="J11" i="1" l="1"/>
  <c r="L12" i="1" s="1"/>
  <c r="E12" i="1"/>
  <c r="D13" i="1"/>
  <c r="F13" i="1"/>
  <c r="C14" i="1" s="1"/>
  <c r="I12" i="1" l="1"/>
  <c r="G12" i="1"/>
  <c r="H12" i="1" s="1"/>
  <c r="E13" i="1"/>
  <c r="F14" i="1"/>
  <c r="C15" i="1" s="1"/>
  <c r="D14" i="1"/>
  <c r="E14" i="1" s="1"/>
  <c r="B13" i="1"/>
  <c r="K12" i="1" l="1"/>
  <c r="J12" i="1"/>
  <c r="L13" i="1" s="1"/>
  <c r="G13" i="1"/>
  <c r="H13" i="1" s="1"/>
  <c r="I13" i="1"/>
  <c r="G14" i="1"/>
  <c r="F15" i="1"/>
  <c r="C16" i="1" s="1"/>
  <c r="D15" i="1"/>
  <c r="B14" i="1"/>
  <c r="K13" i="1" l="1"/>
  <c r="J13" i="1"/>
  <c r="L14" i="1" s="1"/>
  <c r="H14" i="1"/>
  <c r="I14" i="1"/>
  <c r="E15" i="1"/>
  <c r="G15" i="1" s="1"/>
  <c r="F16" i="1"/>
  <c r="C17" i="1" s="1"/>
  <c r="D16" i="1"/>
  <c r="B15" i="1"/>
  <c r="K14" i="1" l="1"/>
  <c r="H15" i="1"/>
  <c r="J14" i="1"/>
  <c r="L15" i="1" s="1"/>
  <c r="I15" i="1"/>
  <c r="E16" i="1"/>
  <c r="G16" i="1" s="1"/>
  <c r="F17" i="1"/>
  <c r="C18" i="1" s="1"/>
  <c r="D17" i="1"/>
  <c r="B16" i="1"/>
  <c r="K15" i="1" l="1"/>
  <c r="H16" i="1"/>
  <c r="J15" i="1"/>
  <c r="L16" i="1" s="1"/>
  <c r="I16" i="1"/>
  <c r="E17" i="1"/>
  <c r="G17" i="1" s="1"/>
  <c r="F18" i="1"/>
  <c r="C19" i="1" s="1"/>
  <c r="D18" i="1"/>
  <c r="B17" i="1"/>
  <c r="K16" i="1" l="1"/>
  <c r="H17" i="1"/>
  <c r="J16" i="1"/>
  <c r="L17" i="1" s="1"/>
  <c r="I17" i="1"/>
  <c r="E18" i="1"/>
  <c r="F19" i="1"/>
  <c r="C20" i="1" s="1"/>
  <c r="D19" i="1"/>
  <c r="B18" i="1"/>
  <c r="G18" i="1" l="1"/>
  <c r="H18" i="1" s="1"/>
  <c r="I18" i="1"/>
  <c r="K17" i="1"/>
  <c r="J17" i="1"/>
  <c r="L18" i="1" s="1"/>
  <c r="E19" i="1"/>
  <c r="F20" i="1"/>
  <c r="C21" i="1" s="1"/>
  <c r="D20" i="1"/>
  <c r="B19" i="1"/>
  <c r="G19" i="1" l="1"/>
  <c r="I19" i="1"/>
  <c r="K18" i="1"/>
  <c r="J18" i="1"/>
  <c r="L19" i="1" s="1"/>
  <c r="H19" i="1"/>
  <c r="E20" i="1"/>
  <c r="I20" i="1" s="1"/>
  <c r="D21" i="1"/>
  <c r="F21" i="1"/>
  <c r="C22" i="1" s="1"/>
  <c r="B20" i="1"/>
  <c r="K19" i="1" l="1"/>
  <c r="J19" i="1"/>
  <c r="L20" i="1" s="1"/>
  <c r="E21" i="1"/>
  <c r="G21" i="1" s="1"/>
  <c r="G20" i="1"/>
  <c r="H20" i="1" s="1"/>
  <c r="K20" i="1" s="1"/>
  <c r="F22" i="1"/>
  <c r="C23" i="1" s="1"/>
  <c r="D22" i="1"/>
  <c r="B21" i="1"/>
  <c r="J20" i="1" l="1"/>
  <c r="L21" i="1" s="1"/>
  <c r="D23" i="1"/>
  <c r="E23" i="1" s="1"/>
  <c r="F23" i="1"/>
  <c r="C24" i="1" s="1"/>
  <c r="H21" i="1"/>
  <c r="I21" i="1"/>
  <c r="E22" i="1"/>
  <c r="G22" i="1" s="1"/>
  <c r="B22" i="1"/>
  <c r="K21" i="1" l="1"/>
  <c r="I23" i="1"/>
  <c r="G23" i="1"/>
  <c r="D24" i="1"/>
  <c r="E24" i="1" s="1"/>
  <c r="F24" i="1"/>
  <c r="C25" i="1" s="1"/>
  <c r="J21" i="1"/>
  <c r="L22" i="1" s="1"/>
  <c r="H22" i="1"/>
  <c r="I22" i="1"/>
  <c r="B23" i="1"/>
  <c r="K22" i="1" l="1"/>
  <c r="I24" i="1"/>
  <c r="D25" i="1"/>
  <c r="F25" i="1"/>
  <c r="C26" i="1" s="1"/>
  <c r="G24" i="1"/>
  <c r="H23" i="1"/>
  <c r="K23" i="1" s="1"/>
  <c r="J22" i="1"/>
  <c r="L23" i="1" s="1"/>
  <c r="B24" i="1"/>
  <c r="B25" i="1" s="1"/>
  <c r="J23" i="1" l="1"/>
  <c r="L24" i="1" s="1"/>
  <c r="D26" i="1"/>
  <c r="E26" i="1" s="1"/>
  <c r="F26" i="1"/>
  <c r="C27" i="1" s="1"/>
  <c r="E25" i="1"/>
  <c r="G25" i="1" s="1"/>
  <c r="H24" i="1"/>
  <c r="K24" i="1" s="1"/>
  <c r="B26" i="1"/>
  <c r="J24" i="1" l="1"/>
  <c r="L25" i="1" s="1"/>
  <c r="D27" i="1"/>
  <c r="E27" i="1" s="1"/>
  <c r="F27" i="1"/>
  <c r="C28" i="1" s="1"/>
  <c r="G26" i="1"/>
  <c r="I26" i="1"/>
  <c r="I25" i="1"/>
  <c r="H25" i="1"/>
  <c r="B27" i="1"/>
  <c r="K25" i="1" l="1"/>
  <c r="G27" i="1"/>
  <c r="H26" i="1"/>
  <c r="J26" i="1" s="1"/>
  <c r="L27" i="1" s="1"/>
  <c r="D28" i="1"/>
  <c r="E28" i="1" s="1"/>
  <c r="F28" i="1"/>
  <c r="C29" i="1" s="1"/>
  <c r="I27" i="1"/>
  <c r="J25" i="1"/>
  <c r="L26" i="1" s="1"/>
  <c r="B28" i="1"/>
  <c r="K26" i="1" l="1"/>
  <c r="F29" i="1"/>
  <c r="C30" i="1" s="1"/>
  <c r="D30" i="1" s="1"/>
  <c r="E30" i="1" s="1"/>
  <c r="H27" i="1"/>
  <c r="J27" i="1" s="1"/>
  <c r="L28" i="1" s="1"/>
  <c r="I28" i="1"/>
  <c r="D29" i="1"/>
  <c r="E29" i="1" s="1"/>
  <c r="G28" i="1"/>
  <c r="B29" i="1"/>
  <c r="G29" i="1" l="1"/>
  <c r="K27" i="1"/>
  <c r="F30" i="1"/>
  <c r="C31" i="1" s="1"/>
  <c r="H28" i="1"/>
  <c r="J28" i="1" s="1"/>
  <c r="L29" i="1" s="1"/>
  <c r="I29" i="1"/>
  <c r="B30" i="1"/>
  <c r="K28" i="1" l="1"/>
  <c r="G30" i="1"/>
  <c r="I30" i="1"/>
  <c r="H29" i="1"/>
  <c r="D31" i="1"/>
  <c r="E31" i="1" s="1"/>
  <c r="F31" i="1"/>
  <c r="C32" i="1" s="1"/>
  <c r="F32" i="1" s="1"/>
  <c r="C33" i="1" s="1"/>
  <c r="B31" i="1"/>
  <c r="H30" i="1" l="1"/>
  <c r="K30" i="1" s="1"/>
  <c r="K29" i="1"/>
  <c r="J29" i="1"/>
  <c r="L30" i="1" s="1"/>
  <c r="I31" i="1"/>
  <c r="G31" i="1"/>
  <c r="D32" i="1"/>
  <c r="E32" i="1" s="1"/>
  <c r="I32" i="1" s="1"/>
  <c r="D33" i="1"/>
  <c r="E33" i="1" s="1"/>
  <c r="F33" i="1"/>
  <c r="C34" i="1" s="1"/>
  <c r="B32" i="1"/>
  <c r="H31" i="1" l="1"/>
  <c r="K31" i="1" s="1"/>
  <c r="J30" i="1"/>
  <c r="L31" i="1" s="1"/>
  <c r="G32" i="1"/>
  <c r="G33" i="1"/>
  <c r="I33" i="1"/>
  <c r="D34" i="1"/>
  <c r="E34" i="1" s="1"/>
  <c r="F34" i="1"/>
  <c r="C35" i="1" s="1"/>
  <c r="B33" i="1"/>
  <c r="J31" i="1" l="1"/>
  <c r="L32" i="1" s="1"/>
  <c r="H32" i="1"/>
  <c r="K32" i="1" s="1"/>
  <c r="I34" i="1"/>
  <c r="G34" i="1"/>
  <c r="D35" i="1"/>
  <c r="E35" i="1" s="1"/>
  <c r="F35" i="1"/>
  <c r="C36" i="1" s="1"/>
  <c r="B34" i="1"/>
  <c r="H33" i="1" l="1"/>
  <c r="K33" i="1" s="1"/>
  <c r="J32" i="1"/>
  <c r="L33" i="1" s="1"/>
  <c r="G35" i="1"/>
  <c r="I35" i="1"/>
  <c r="J33" i="1"/>
  <c r="L34" i="1" s="1"/>
  <c r="D36" i="1"/>
  <c r="E36" i="1" s="1"/>
  <c r="F36" i="1"/>
  <c r="C37" i="1" s="1"/>
  <c r="B35" i="1"/>
  <c r="B36" i="1" s="1"/>
  <c r="H34" i="1" l="1"/>
  <c r="K34" i="1" s="1"/>
  <c r="G36" i="1"/>
  <c r="I36" i="1"/>
  <c r="J34" i="1"/>
  <c r="L35" i="1" s="1"/>
  <c r="H35" i="1"/>
  <c r="K35" i="1" s="1"/>
  <c r="D37" i="1"/>
  <c r="E37" i="1" s="1"/>
  <c r="F37" i="1"/>
  <c r="C38" i="1" s="1"/>
  <c r="B37" i="1"/>
  <c r="I37" i="1" l="1"/>
  <c r="G37" i="1"/>
  <c r="J35" i="1"/>
  <c r="L36" i="1" s="1"/>
  <c r="H36" i="1"/>
  <c r="K36" i="1" s="1"/>
  <c r="F38" i="1"/>
  <c r="C39" i="1" s="1"/>
  <c r="D38" i="1"/>
  <c r="E38" i="1" s="1"/>
  <c r="B38" i="1"/>
  <c r="I38" i="1" l="1"/>
  <c r="G38" i="1"/>
  <c r="J36" i="1"/>
  <c r="L37" i="1" s="1"/>
  <c r="H37" i="1"/>
  <c r="K37" i="1" s="1"/>
  <c r="D39" i="1"/>
  <c r="E39" i="1" s="1"/>
  <c r="F39" i="1"/>
  <c r="C40" i="1" s="1"/>
  <c r="B39" i="1"/>
  <c r="I39" i="1" l="1"/>
  <c r="G39" i="1"/>
  <c r="J37" i="1"/>
  <c r="L38" i="1" s="1"/>
  <c r="H38" i="1"/>
  <c r="K38" i="1" s="1"/>
  <c r="D40" i="1"/>
  <c r="E40" i="1" s="1"/>
  <c r="I40" i="1" s="1"/>
  <c r="F40" i="1"/>
  <c r="C41" i="1" s="1"/>
  <c r="T25" i="1" s="1"/>
  <c r="B40" i="1"/>
  <c r="K41" i="1" l="1"/>
  <c r="L42" i="1"/>
  <c r="G40" i="1"/>
  <c r="J38" i="1"/>
  <c r="L39" i="1" s="1"/>
  <c r="H39" i="1"/>
  <c r="K39" i="1" s="1"/>
  <c r="F41" i="1"/>
  <c r="C42" i="1" s="1"/>
  <c r="D41" i="1"/>
  <c r="E41" i="1" s="1"/>
  <c r="L43" i="1" l="1"/>
  <c r="K42" i="1"/>
  <c r="I41" i="1"/>
  <c r="G41" i="1"/>
  <c r="J39" i="1"/>
  <c r="L40" i="1" s="1"/>
  <c r="H40" i="1"/>
  <c r="K40" i="1" s="1"/>
  <c r="E42" i="1"/>
  <c r="I42" i="1" s="1"/>
  <c r="F42" i="1"/>
  <c r="C43" i="1" s="1"/>
  <c r="D42" i="1"/>
  <c r="K43" i="1" l="1"/>
  <c r="L44" i="1"/>
  <c r="J40" i="1"/>
  <c r="L41" i="1" s="1"/>
  <c r="H41" i="1"/>
  <c r="G42" i="1"/>
  <c r="D43" i="1"/>
  <c r="E43" i="1" s="1"/>
  <c r="F43" i="1"/>
  <c r="C44" i="1"/>
  <c r="L45" i="1" l="1"/>
  <c r="K44" i="1"/>
  <c r="I43" i="1"/>
  <c r="G43" i="1"/>
  <c r="J41" i="1"/>
  <c r="H42" i="1"/>
  <c r="D44" i="1"/>
  <c r="E44" i="1" s="1"/>
  <c r="F44" i="1"/>
  <c r="C45" i="1" s="1"/>
  <c r="K45" i="1" l="1"/>
  <c r="L46" i="1"/>
  <c r="I44" i="1"/>
  <c r="G44" i="1"/>
  <c r="J42" i="1"/>
  <c r="H43" i="1"/>
  <c r="F45" i="1"/>
  <c r="C46" i="1" s="1"/>
  <c r="D45" i="1"/>
  <c r="E45" i="1" s="1"/>
  <c r="L47" i="1" l="1"/>
  <c r="K46" i="1"/>
  <c r="G45" i="1"/>
  <c r="I45" i="1"/>
  <c r="J43" i="1"/>
  <c r="H44" i="1"/>
  <c r="D46" i="1"/>
  <c r="E46" i="1" s="1"/>
  <c r="F46" i="1"/>
  <c r="C47" i="1" s="1"/>
  <c r="K47" i="1" l="1"/>
  <c r="L48" i="1"/>
  <c r="G46" i="1"/>
  <c r="I46" i="1"/>
  <c r="J44" i="1"/>
  <c r="H45" i="1"/>
  <c r="F47" i="1"/>
  <c r="C48" i="1"/>
  <c r="D47" i="1"/>
  <c r="E47" i="1" s="1"/>
  <c r="K48" i="1" l="1"/>
  <c r="L49" i="1"/>
  <c r="G47" i="1"/>
  <c r="I47" i="1"/>
  <c r="J45" i="1"/>
  <c r="H46" i="1"/>
  <c r="D48" i="1"/>
  <c r="E48" i="1" s="1"/>
  <c r="F48" i="1"/>
  <c r="C49" i="1" s="1"/>
  <c r="K49" i="1" l="1"/>
  <c r="L50" i="1"/>
  <c r="G48" i="1"/>
  <c r="I48" i="1"/>
  <c r="J46" i="1"/>
  <c r="H47" i="1"/>
  <c r="E49" i="1"/>
  <c r="I49" i="1" s="1"/>
  <c r="D49" i="1"/>
  <c r="F49" i="1"/>
  <c r="C50" i="1" s="1"/>
  <c r="K50" i="1" s="1"/>
  <c r="J47" i="1" l="1"/>
  <c r="H48" i="1"/>
  <c r="G49" i="1"/>
  <c r="F50" i="1"/>
  <c r="D50" i="1"/>
  <c r="E50" i="1" s="1"/>
  <c r="I50" i="1" l="1"/>
  <c r="G50" i="1"/>
  <c r="J48" i="1"/>
  <c r="H49" i="1"/>
  <c r="V24" i="1"/>
  <c r="AO4" i="1" s="1"/>
  <c r="S24" i="1"/>
  <c r="J49" i="1" l="1"/>
  <c r="H50" i="1"/>
  <c r="J50" i="1" l="1"/>
  <c r="L51" i="1" s="1"/>
  <c r="V25" i="1"/>
  <c r="V26" i="1" s="1"/>
  <c r="AO5" i="1" l="1"/>
</calcChain>
</file>

<file path=xl/sharedStrings.xml><?xml version="1.0" encoding="utf-8"?>
<sst xmlns="http://schemas.openxmlformats.org/spreadsheetml/2006/main" count="70" uniqueCount="60">
  <si>
    <t>Annual FC</t>
  </si>
  <si>
    <t>Rate</t>
  </si>
  <si>
    <t>Stack Cost</t>
  </si>
  <si>
    <t>Balance</t>
  </si>
  <si>
    <t xml:space="preserve">Target </t>
  </si>
  <si>
    <t>Escalation</t>
  </si>
  <si>
    <t>Cumulative</t>
  </si>
  <si>
    <t>Monthly</t>
  </si>
  <si>
    <t>Cycles</t>
  </si>
  <si>
    <t>LLP</t>
  </si>
  <si>
    <t>Actual Accrual</t>
  </si>
  <si>
    <t>Target vs. Actual Reserve Accruals</t>
  </si>
  <si>
    <t>LLP Cost $</t>
  </si>
  <si>
    <t>Limiter (FC)</t>
  </si>
  <si>
    <t xml:space="preserve">  LLP Cost $ - Year 1 :</t>
  </si>
  <si>
    <t xml:space="preserve">  LLP Limiter (FC) :</t>
  </si>
  <si>
    <t xml:space="preserve">  LLP Rate ($/FC) - Year 1 :</t>
  </si>
  <si>
    <t>Narrowbody</t>
  </si>
  <si>
    <t>Widebody</t>
  </si>
  <si>
    <t xml:space="preserve">Operation : </t>
  </si>
  <si>
    <t xml:space="preserve">  Summary - Per Engine</t>
  </si>
  <si>
    <t>Compound</t>
  </si>
  <si>
    <t>Effective</t>
  </si>
  <si>
    <t>Year</t>
  </si>
  <si>
    <t>$</t>
  </si>
  <si>
    <t>%</t>
  </si>
  <si>
    <t xml:space="preserve">                      Annual Utilization (FC) :</t>
  </si>
  <si>
    <t xml:space="preserve">                     Monthly Utilization (FC) :</t>
  </si>
  <si>
    <t xml:space="preserve">    Accrual Shortfall</t>
  </si>
  <si>
    <t>Engine Model 1</t>
  </si>
  <si>
    <t>Engine Model 2</t>
  </si>
  <si>
    <t>Engine Model 3</t>
  </si>
  <si>
    <t>Engine Model 4</t>
  </si>
  <si>
    <t>Engine</t>
  </si>
  <si>
    <t>Non-LLP</t>
  </si>
  <si>
    <r>
      <t>Inflation</t>
    </r>
    <r>
      <rPr>
        <sz val="10"/>
        <color theme="1" tint="0.499984740745262"/>
        <rFont val="Calibri"/>
        <family val="2"/>
      </rPr>
      <t>¹</t>
    </r>
  </si>
  <si>
    <t>CPI-U</t>
  </si>
  <si>
    <t>Avg :</t>
  </si>
  <si>
    <t>1 - based on a composite index consisting of 60% industrial commoditites and 40% aircraft manufacturing labor</t>
  </si>
  <si>
    <t xml:space="preserve">The greatest escalation risk to both owners and operators of aircraft is one that is largely (but not entirely) out of one’s control;  this risk consist of escalations inherent in </t>
  </si>
  <si>
    <t>Accrual Accounting</t>
  </si>
  <si>
    <t>available at the time of their replacement.  This presents risks to both lessors and operators of aircraft depending on who bears the financial responsibility.</t>
  </si>
  <si>
    <t>Engine LLP escalations, in conjunction with the use of the accrual method for building up LLP maintenance reserves, often ensures that there will be insufficient funds</t>
  </si>
  <si>
    <t>aftermarket parts, and in particular engine LLPs. As illustrated below, over the course of time the airline industry has witnessed piece-part LLP escalations averaging</t>
  </si>
  <si>
    <t>above 5.5%, far exceeding both engine manufacturing inflation as measured by a composite index¹ and US based consumer inflation as measured by the CPI-U.</t>
  </si>
  <si>
    <t>Under the accrual method, expenses for maintenance costs are built up for maintenance liabilities in advance of the maintenance event.  The final balances resulting from</t>
  </si>
  <si>
    <t>building up set dollar amounts are dependent on:</t>
  </si>
  <si>
    <r>
      <t xml:space="preserve">2.     </t>
    </r>
    <r>
      <rPr>
        <b/>
        <sz val="10"/>
        <color theme="1" tint="0.499984740745262"/>
        <rFont val="Arial"/>
        <family val="2"/>
      </rPr>
      <t>Performance interval</t>
    </r>
    <r>
      <rPr>
        <sz val="10"/>
        <color theme="1" tint="0.499984740745262"/>
        <rFont val="Arial"/>
        <family val="2"/>
      </rPr>
      <t xml:space="preserve"> is the time between intervals for a maintenance event and also the number of periods during which escalation occurs</t>
    </r>
  </si>
  <si>
    <r>
      <t>1.    </t>
    </r>
    <r>
      <rPr>
        <b/>
        <sz val="10"/>
        <color theme="1" tint="0.499984740745262"/>
        <rFont val="Arial"/>
        <family val="2"/>
      </rPr>
      <t xml:space="preserve"> Escalation rate</t>
    </r>
    <r>
      <rPr>
        <sz val="10"/>
        <color theme="1" tint="0.499984740745262"/>
        <rFont val="Arial"/>
        <family val="2"/>
      </rPr>
      <t xml:space="preserve"> is the percentage at which an annual change in the price levels of the maintenance event is expected to occur, and</t>
    </r>
  </si>
  <si>
    <t>When applying the above method to forecast engine LLP accruals we can make the following generalizations: a.)  LLPs are subject to high escalation rates, and</t>
  </si>
  <si>
    <t>Engine LLP - Historical Escalation Rates</t>
  </si>
  <si>
    <t xml:space="preserve">b.) LLPs have long performance intervals. </t>
  </si>
  <si>
    <t>As noted, the purpose of accrual accounting is to gradually build up set dollar amounts that will be used to offset future maintenance liabilities.  Thus, in an ideal scenario</t>
  </si>
  <si>
    <t xml:space="preserve">the final balance achieved through accruing for a future maintenance obligation (e.g. engine LLP replacements) will equal the future escalated cost of this event.  However, </t>
  </si>
  <si>
    <t xml:space="preserve">as this model illustrates, although the escalation rate is applied equally to both the LLP accrual and the LLP stack cost, the increase in price level is higher for the LLP </t>
  </si>
  <si>
    <t xml:space="preserve">stack cost given the escalator is applied to a higher notional value.  This explains why the higher cost &amp; longer replacement intervals inherent with engine LLPs result in </t>
  </si>
  <si>
    <t>much higher accrual shortfalls.</t>
  </si>
  <si>
    <t>We can now summarize the following outcomes in regard to the accrual method of accounting  – all else equal:</t>
  </si>
  <si>
    <t>1. Maintenance accrual balances will be insufficient to cover future maintenance event costs, and</t>
  </si>
  <si>
    <t>2. The escalation exposure will increase with maintenance events subject to: a.) higher costs, b.) longer maintenance intervals, and c.) higher assumed escalation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</si>
</sst>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953735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808080"/>
      <name val="Arial"/>
      <family val="2"/>
    </font>
    <font>
      <sz val="10"/>
      <color theme="1" tint="0.499984740745262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</font>
    <font>
      <b/>
      <sz val="10"/>
      <color theme="1" tint="0.499984740745262"/>
      <name val="Arial"/>
      <family val="2"/>
    </font>
    <font>
      <sz val="10"/>
      <color theme="0"/>
      <name val="Calibri"/>
      <family val="2"/>
      <scheme val="minor"/>
    </font>
    <font>
      <b/>
      <u/>
      <sz val="10"/>
      <color theme="1" tint="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0" fontId="3" fillId="2" borderId="0" xfId="0" quotePrefix="1" applyFont="1" applyFill="1"/>
    <xf numFmtId="4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38" fontId="1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44" fontId="6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8" xfId="0" applyFont="1" applyFill="1" applyBorder="1" applyAlignment="1">
      <alignment horizontal="left"/>
    </xf>
    <xf numFmtId="37" fontId="1" fillId="2" borderId="0" xfId="0" applyNumberFormat="1" applyFont="1" applyFill="1" applyBorder="1" applyAlignment="1">
      <alignment horizontal="right"/>
    </xf>
    <xf numFmtId="165" fontId="1" fillId="2" borderId="0" xfId="1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9" fontId="1" fillId="2" borderId="4" xfId="1" applyFont="1" applyFill="1" applyBorder="1" applyAlignment="1">
      <alignment horizontal="center"/>
    </xf>
    <xf numFmtId="165" fontId="1" fillId="2" borderId="0" xfId="1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left"/>
    </xf>
    <xf numFmtId="38" fontId="1" fillId="2" borderId="9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/>
    <xf numFmtId="2" fontId="1" fillId="2" borderId="0" xfId="0" applyNumberFormat="1" applyFont="1" applyFill="1" applyBorder="1" applyAlignment="1">
      <alignment horizontal="left"/>
    </xf>
    <xf numFmtId="0" fontId="10" fillId="0" borderId="0" xfId="0" applyFont="1"/>
    <xf numFmtId="0" fontId="10" fillId="2" borderId="0" xfId="0" applyFont="1" applyFill="1"/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13" fillId="2" borderId="10" xfId="0" applyFont="1" applyFill="1" applyBorder="1" applyAlignment="1">
      <alignment horizontal="center"/>
    </xf>
    <xf numFmtId="0" fontId="13" fillId="2" borderId="0" xfId="0" applyFont="1" applyFill="1"/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/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10" fontId="13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10" fontId="13" fillId="2" borderId="0" xfId="0" applyNumberFormat="1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10" fontId="16" fillId="5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8" fillId="2" borderId="8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1" fillId="2" borderId="0" xfId="0" applyFont="1" applyFill="1" applyProtection="1"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3" fontId="1" fillId="3" borderId="1" xfId="0" applyNumberFormat="1" applyFont="1" applyFill="1" applyBorder="1" applyAlignment="1" applyProtection="1">
      <alignment horizontal="center"/>
      <protection locked="0"/>
    </xf>
    <xf numFmtId="165" fontId="1" fillId="3" borderId="1" xfId="1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/>
    <xf numFmtId="1" fontId="6" fillId="2" borderId="2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">
    <dxf>
      <fill>
        <patternFill>
          <bgColor rgb="FFE4E4E4"/>
        </patternFill>
      </fill>
    </dxf>
  </dxfs>
  <tableStyles count="0" defaultTableStyle="TableStyleMedium9" defaultPivotStyle="PivotStyleLight16"/>
  <colors>
    <mruColors>
      <color rgb="FFFFFFCC"/>
      <color rgb="FFCD7775"/>
      <color rgb="FF953735"/>
      <color rgb="FF000000"/>
      <color rgb="FFE4E4E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62775458436818E-2"/>
          <c:y val="0.16695187146743951"/>
          <c:w val="0.90140710599094598"/>
          <c:h val="0.63694012122736332"/>
        </c:manualLayout>
      </c:layout>
      <c:lineChart>
        <c:grouping val="standard"/>
        <c:varyColors val="0"/>
        <c:ser>
          <c:idx val="0"/>
          <c:order val="0"/>
          <c:tx>
            <c:v>Target</c:v>
          </c:tx>
          <c:marker>
            <c:symbol val="none"/>
          </c:marker>
          <c:val>
            <c:numRef>
              <c:f>[0]!Values_Target</c:f>
              <c:numCache>
                <c:formatCode>#,##0</c:formatCode>
                <c:ptCount val="20"/>
                <c:pt idx="0">
                  <c:v>125000</c:v>
                </c:pt>
                <c:pt idx="1">
                  <c:v>263750</c:v>
                </c:pt>
                <c:pt idx="2">
                  <c:v>417384.37500000006</c:v>
                </c:pt>
                <c:pt idx="3">
                  <c:v>587120.68749999988</c:v>
                </c:pt>
                <c:pt idx="4">
                  <c:v>774265.40664062486</c:v>
                </c:pt>
                <c:pt idx="5">
                  <c:v>980220.00480703101</c:v>
                </c:pt>
                <c:pt idx="6">
                  <c:v>1206487.4559166539</c:v>
                </c:pt>
                <c:pt idx="7">
                  <c:v>1454679.1611337941</c:v>
                </c:pt>
                <c:pt idx="8">
                  <c:v>1726522.3293706719</c:v>
                </c:pt>
                <c:pt idx="9">
                  <c:v>2023867.8416511766</c:v>
                </c:pt>
                <c:pt idx="10">
                  <c:v>2348698.6302361903</c:v>
                </c:pt>
                <c:pt idx="11">
                  <c:v>2703138.6053445609</c:v>
                </c:pt>
                <c:pt idx="12">
                  <c:v>3089462.1643583872</c:v>
                </c:pt>
                <c:pt idx="13">
                  <c:v>3510104.3205825677</c:v>
                </c:pt>
                <c:pt idx="14">
                  <c:v>3967671.4909442235</c:v>
                </c:pt>
                <c:pt idx="15">
                  <c:v>4464952.9844758995</c:v>
                </c:pt>
                <c:pt idx="16">
                  <c:v>5004933.2360359542</c:v>
                </c:pt>
                <c:pt idx="17">
                  <c:v>5590804.8324895734</c:v>
                </c:pt>
                <c:pt idx="18">
                  <c:v>6225982.3815140836</c:v>
                </c:pt>
                <c:pt idx="19">
                  <c:v>6914117.2763130078</c:v>
                </c:pt>
              </c:numCache>
            </c:numRef>
          </c:val>
          <c:smooth val="1"/>
        </c:ser>
        <c:ser>
          <c:idx val="1"/>
          <c:order val="1"/>
          <c:tx>
            <c:v>Actual</c:v>
          </c:tx>
          <c:marker>
            <c:symbol val="none"/>
          </c:marker>
          <c:val>
            <c:numRef>
              <c:f>[0]!Values_Actual</c:f>
              <c:numCache>
                <c:formatCode>#,##0</c:formatCode>
                <c:ptCount val="20"/>
                <c:pt idx="0">
                  <c:v>125000</c:v>
                </c:pt>
                <c:pt idx="1">
                  <c:v>256875</c:v>
                </c:pt>
                <c:pt idx="2">
                  <c:v>396003.125</c:v>
                </c:pt>
                <c:pt idx="3">
                  <c:v>542783.296875</c:v>
                </c:pt>
                <c:pt idx="4">
                  <c:v>697636.37820312497</c:v>
                </c:pt>
                <c:pt idx="5">
                  <c:v>861006.37900429685</c:v>
                </c:pt>
                <c:pt idx="6">
                  <c:v>1033361.7298495332</c:v>
                </c:pt>
                <c:pt idx="7">
                  <c:v>1215196.6249912574</c:v>
                </c:pt>
                <c:pt idx="8">
                  <c:v>1407032.4393657765</c:v>
                </c:pt>
                <c:pt idx="9">
                  <c:v>1609419.2235308941</c:v>
                </c:pt>
                <c:pt idx="10">
                  <c:v>1822937.2808250932</c:v>
                </c:pt>
                <c:pt idx="11">
                  <c:v>2048198.8312704733</c:v>
                </c:pt>
                <c:pt idx="12">
                  <c:v>2285849.7669903492</c:v>
                </c:pt>
                <c:pt idx="13">
                  <c:v>2536571.5041748183</c:v>
                </c:pt>
                <c:pt idx="14">
                  <c:v>2801082.9369044332</c:v>
                </c:pt>
                <c:pt idx="15">
                  <c:v>3080142.4984341767</c:v>
                </c:pt>
                <c:pt idx="16">
                  <c:v>3374550.3358480562</c:v>
                </c:pt>
                <c:pt idx="17">
                  <c:v>3685150.6043196991</c:v>
                </c:pt>
                <c:pt idx="18">
                  <c:v>4012833.8875572826</c:v>
                </c:pt>
                <c:pt idx="19">
                  <c:v>4358539.7513729334</c:v>
                </c:pt>
              </c:numCache>
            </c:numRef>
          </c:val>
          <c:smooth val="1"/>
        </c:ser>
        <c:ser>
          <c:idx val="2"/>
          <c:order val="2"/>
          <c:tx>
            <c:v>Shortfall</c:v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[0]!Values_Shortfall</c:f>
              <c:numCache>
                <c:formatCode>General</c:formatCode>
                <c:ptCount val="20"/>
                <c:pt idx="0">
                  <c:v>0</c:v>
                </c:pt>
                <c:pt idx="1">
                  <c:v>6875</c:v>
                </c:pt>
                <c:pt idx="2">
                  <c:v>21381.250000000058</c:v>
                </c:pt>
                <c:pt idx="3">
                  <c:v>44337.390624999884</c:v>
                </c:pt>
                <c:pt idx="4">
                  <c:v>76629.028437499888</c:v>
                </c:pt>
                <c:pt idx="5">
                  <c:v>119213.62580273417</c:v>
                </c:pt>
                <c:pt idx="6">
                  <c:v>173125.72606712067</c:v>
                </c:pt>
                <c:pt idx="7">
                  <c:v>239482.53614253667</c:v>
                </c:pt>
                <c:pt idx="8">
                  <c:v>319489.89000489539</c:v>
                </c:pt>
                <c:pt idx="9">
                  <c:v>414448.61812028242</c:v>
                </c:pt>
                <c:pt idx="10">
                  <c:v>525761.34941109712</c:v>
                </c:pt>
                <c:pt idx="11">
                  <c:v>654939.77407408762</c:v>
                </c:pt>
                <c:pt idx="12">
                  <c:v>803612.39736803807</c:v>
                </c:pt>
                <c:pt idx="13">
                  <c:v>973532.81640774943</c:v>
                </c:pt>
                <c:pt idx="14">
                  <c:v>1166588.5540397903</c:v>
                </c:pt>
                <c:pt idx="15">
                  <c:v>1384810.4860417228</c:v>
                </c:pt>
                <c:pt idx="16">
                  <c:v>1630382.900187898</c:v>
                </c:pt>
                <c:pt idx="17">
                  <c:v>1905654.2281698743</c:v>
                </c:pt>
                <c:pt idx="18">
                  <c:v>2213148.493956801</c:v>
                </c:pt>
                <c:pt idx="19">
                  <c:v>2555577.5249400744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23200"/>
        <c:axId val="54634752"/>
      </c:lineChart>
      <c:catAx>
        <c:axId val="10552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50" b="1"/>
                </a:pPr>
                <a:r>
                  <a:rPr lang="en-US" sz="750" b="1"/>
                  <a:t>Year of Operation</a:t>
                </a:r>
              </a:p>
            </c:rich>
          </c:tx>
          <c:layout>
            <c:manualLayout>
              <c:xMode val="edge"/>
              <c:yMode val="edge"/>
              <c:x val="0.41535450686113889"/>
              <c:y val="0.90358334804097107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750"/>
            </a:pPr>
            <a:endParaRPr lang="en-US"/>
          </a:p>
        </c:txPr>
        <c:crossAx val="54634752"/>
        <c:crosses val="autoZero"/>
        <c:auto val="1"/>
        <c:lblAlgn val="ctr"/>
        <c:lblOffset val="100"/>
        <c:noMultiLvlLbl val="0"/>
      </c:catAx>
      <c:valAx>
        <c:axId val="54634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10552320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087290459852782E-3"/>
                <c:y val="0.39318931287435227"/>
              </c:manualLayout>
            </c:layout>
            <c:tx>
              <c:rich>
                <a:bodyPr/>
                <a:lstStyle/>
                <a:p>
                  <a:pPr>
                    <a:defRPr sz="750" b="1"/>
                  </a:pPr>
                  <a:r>
                    <a:rPr lang="en-US" sz="750" b="1"/>
                    <a:t>$ Millions</a:t>
                  </a:r>
                </a:p>
              </c:rich>
            </c:tx>
          </c:dispUnitsLbl>
        </c:dispUnits>
      </c:valAx>
      <c:spPr>
        <a:noFill/>
      </c:spPr>
    </c:plotArea>
    <c:legend>
      <c:legendPos val="b"/>
      <c:layout>
        <c:manualLayout>
          <c:xMode val="edge"/>
          <c:yMode val="edge"/>
          <c:x val="0.12686448589899416"/>
          <c:y val="6.3897936026734325E-2"/>
          <c:w val="0.76424656895892207"/>
          <c:h val="0.1055038574723614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139700</xdr:rowOff>
    </xdr:from>
    <xdr:to>
      <xdr:col>2</xdr:col>
      <xdr:colOff>610398</xdr:colOff>
      <xdr:row>3</xdr:row>
      <xdr:rowOff>26035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725" y="139700"/>
          <a:ext cx="1207298" cy="372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7</xdr:row>
      <xdr:rowOff>57152</xdr:rowOff>
    </xdr:from>
    <xdr:to>
      <xdr:col>22</xdr:col>
      <xdr:colOff>47625</xdr:colOff>
      <xdr:row>19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57161</xdr:rowOff>
    </xdr:from>
    <xdr:to>
      <xdr:col>5</xdr:col>
      <xdr:colOff>3973</xdr:colOff>
      <xdr:row>2</xdr:row>
      <xdr:rowOff>137171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7161"/>
          <a:ext cx="1213648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23" zoomScaleNormal="100" workbookViewId="0">
      <selection activeCell="D50" sqref="D50:D1048576"/>
    </sheetView>
  </sheetViews>
  <sheetFormatPr defaultColWidth="0" defaultRowHeight="12.75" zeroHeight="1" x14ac:dyDescent="0.2"/>
  <cols>
    <col min="1" max="1" width="2.7109375" style="50" customWidth="1"/>
    <col min="2" max="16" width="9.42578125" style="50" customWidth="1"/>
    <col min="17" max="17" width="2.7109375" style="50" customWidth="1"/>
    <col min="18" max="16384" width="9.140625" style="50" hidden="1"/>
  </cols>
  <sheetData>
    <row r="1" spans="2:14" x14ac:dyDescent="0.2"/>
    <row r="2" spans="2:14" x14ac:dyDescent="0.2"/>
    <row r="3" spans="2:14" x14ac:dyDescent="0.2"/>
    <row r="4" spans="2:14" x14ac:dyDescent="0.2"/>
    <row r="5" spans="2:14" x14ac:dyDescent="0.2">
      <c r="B5" s="50" t="s">
        <v>42</v>
      </c>
    </row>
    <row r="6" spans="2:14" x14ac:dyDescent="0.2">
      <c r="B6" s="50" t="s">
        <v>41</v>
      </c>
    </row>
    <row r="7" spans="2:14" x14ac:dyDescent="0.2"/>
    <row r="8" spans="2:14" x14ac:dyDescent="0.2">
      <c r="B8" s="66" t="s">
        <v>50</v>
      </c>
    </row>
    <row r="9" spans="2:14" ht="4.5" customHeight="1" x14ac:dyDescent="0.2">
      <c r="B9" s="66"/>
    </row>
    <row r="10" spans="2:14" x14ac:dyDescent="0.2">
      <c r="B10" s="49" t="s">
        <v>39</v>
      </c>
    </row>
    <row r="11" spans="2:14" x14ac:dyDescent="0.2">
      <c r="B11" s="50" t="s">
        <v>43</v>
      </c>
    </row>
    <row r="12" spans="2:14" x14ac:dyDescent="0.2">
      <c r="B12" s="50" t="s">
        <v>44</v>
      </c>
    </row>
    <row r="13" spans="2:14" x14ac:dyDescent="0.2"/>
    <row r="14" spans="2:14" x14ac:dyDescent="0.2">
      <c r="C14" s="53"/>
      <c r="D14" s="87" t="s">
        <v>29</v>
      </c>
      <c r="E14" s="88"/>
      <c r="F14" s="87" t="s">
        <v>30</v>
      </c>
      <c r="G14" s="88"/>
      <c r="H14" s="87" t="s">
        <v>31</v>
      </c>
      <c r="I14" s="88"/>
      <c r="J14" s="87" t="s">
        <v>32</v>
      </c>
      <c r="K14" s="88"/>
      <c r="L14" s="54"/>
      <c r="M14" s="53" t="s">
        <v>33</v>
      </c>
      <c r="N14" s="56"/>
    </row>
    <row r="15" spans="2:14" x14ac:dyDescent="0.2">
      <c r="C15" s="57" t="s">
        <v>23</v>
      </c>
      <c r="D15" s="55" t="s">
        <v>9</v>
      </c>
      <c r="E15" s="55" t="s">
        <v>34</v>
      </c>
      <c r="F15" s="55" t="s">
        <v>9</v>
      </c>
      <c r="G15" s="55" t="s">
        <v>34</v>
      </c>
      <c r="H15" s="55" t="s">
        <v>9</v>
      </c>
      <c r="I15" s="55" t="s">
        <v>34</v>
      </c>
      <c r="J15" s="55" t="s">
        <v>9</v>
      </c>
      <c r="K15" s="55" t="s">
        <v>34</v>
      </c>
      <c r="L15" s="54"/>
      <c r="M15" s="57" t="s">
        <v>35</v>
      </c>
      <c r="N15" s="58" t="s">
        <v>36</v>
      </c>
    </row>
    <row r="16" spans="2:14" x14ac:dyDescent="0.2">
      <c r="C16" s="59">
        <v>2005</v>
      </c>
      <c r="D16" s="60">
        <v>5.2999999999999999E-2</v>
      </c>
      <c r="E16" s="60">
        <v>3.9E-2</v>
      </c>
      <c r="F16" s="60">
        <v>5.8000000000000003E-2</v>
      </c>
      <c r="G16" s="60">
        <v>4.7E-2</v>
      </c>
      <c r="H16" s="60">
        <v>5.8000000000000003E-2</v>
      </c>
      <c r="I16" s="60">
        <v>4.9000000000000002E-2</v>
      </c>
      <c r="J16" s="60">
        <v>5.1999999999999998E-2</v>
      </c>
      <c r="K16" s="60">
        <v>4.2000000000000003E-2</v>
      </c>
      <c r="L16" s="54"/>
      <c r="M16" s="60">
        <v>6.8412361405991995E-2</v>
      </c>
      <c r="N16" s="60">
        <v>3.3927468454954694E-2</v>
      </c>
    </row>
    <row r="17" spans="2:14" x14ac:dyDescent="0.2">
      <c r="C17" s="59">
        <f>C16+1</f>
        <v>2006</v>
      </c>
      <c r="D17" s="60">
        <v>5.2999999999999999E-2</v>
      </c>
      <c r="E17" s="60">
        <v>3.9E-2</v>
      </c>
      <c r="F17" s="60">
        <v>5.8000000000000003E-2</v>
      </c>
      <c r="G17" s="60">
        <v>4.7E-2</v>
      </c>
      <c r="H17" s="60">
        <v>5.8000000000000003E-2</v>
      </c>
      <c r="I17" s="60">
        <v>4.9000000000000002E-2</v>
      </c>
      <c r="J17" s="60">
        <v>5.8000000000000003E-2</v>
      </c>
      <c r="K17" s="60">
        <v>4.9000000000000002E-2</v>
      </c>
      <c r="L17" s="54"/>
      <c r="M17" s="60">
        <v>4.7140649149922935E-2</v>
      </c>
      <c r="N17" s="60">
        <v>3.2259441007040653E-2</v>
      </c>
    </row>
    <row r="18" spans="2:14" x14ac:dyDescent="0.2">
      <c r="C18" s="59">
        <f t="shared" ref="C18:C22" si="0">C17+1</f>
        <v>2007</v>
      </c>
      <c r="D18" s="60">
        <v>5.8000000000000003E-2</v>
      </c>
      <c r="E18" s="60">
        <v>4.9000000000000002E-2</v>
      </c>
      <c r="F18" s="60">
        <v>5.8000000000000003E-2</v>
      </c>
      <c r="G18" s="60">
        <v>5.7000000000000002E-2</v>
      </c>
      <c r="H18" s="60">
        <v>5.8000000000000003E-2</v>
      </c>
      <c r="I18" s="60">
        <v>4.9000000000000002E-2</v>
      </c>
      <c r="J18" s="60">
        <v>5.8000000000000003E-2</v>
      </c>
      <c r="K18" s="60">
        <v>4.9000000000000002E-2</v>
      </c>
      <c r="L18" s="54"/>
      <c r="M18" s="60">
        <v>3.2718327183271632E-2</v>
      </c>
      <c r="N18" s="60">
        <v>2.8523004423132426E-2</v>
      </c>
    </row>
    <row r="19" spans="2:14" x14ac:dyDescent="0.2">
      <c r="C19" s="59">
        <f t="shared" si="0"/>
        <v>2008</v>
      </c>
      <c r="D19" s="60">
        <v>6.5000000000000002E-2</v>
      </c>
      <c r="E19" s="60">
        <v>4.8000000000000001E-2</v>
      </c>
      <c r="F19" s="60">
        <v>8.1000000000000003E-2</v>
      </c>
      <c r="G19" s="60">
        <v>6.0999999999999999E-2</v>
      </c>
      <c r="H19" s="60">
        <v>5.5E-2</v>
      </c>
      <c r="I19" s="60">
        <v>5.7000000000000002E-2</v>
      </c>
      <c r="J19" s="60">
        <v>7.0000000000000007E-2</v>
      </c>
      <c r="K19" s="60">
        <v>5.6000000000000001E-2</v>
      </c>
      <c r="L19" s="54"/>
      <c r="M19" s="60">
        <v>7.7928265160280327E-2</v>
      </c>
      <c r="N19" s="60">
        <v>3.8382701659900903E-2</v>
      </c>
    </row>
    <row r="20" spans="2:14" x14ac:dyDescent="0.2">
      <c r="C20" s="59">
        <f t="shared" si="0"/>
        <v>2009</v>
      </c>
      <c r="D20" s="60">
        <v>0.06</v>
      </c>
      <c r="E20" s="60">
        <v>4.5999999999999999E-2</v>
      </c>
      <c r="F20" s="60">
        <v>9.8000000000000004E-2</v>
      </c>
      <c r="G20" s="60">
        <v>8.3000000000000004E-2</v>
      </c>
      <c r="H20" s="60">
        <v>7.2999999999999995E-2</v>
      </c>
      <c r="I20" s="60">
        <v>7.1999999999999995E-2</v>
      </c>
      <c r="J20" s="60">
        <v>5.6000000000000001E-2</v>
      </c>
      <c r="K20" s="60">
        <v>5.6000000000000001E-2</v>
      </c>
      <c r="L20" s="54"/>
      <c r="M20" s="60">
        <v>-5.6951635307488209E-2</v>
      </c>
      <c r="N20" s="60">
        <v>-3.5438922433810895E-3</v>
      </c>
    </row>
    <row r="21" spans="2:14" x14ac:dyDescent="0.2">
      <c r="C21" s="59">
        <f t="shared" si="0"/>
        <v>2010</v>
      </c>
      <c r="D21" s="60">
        <v>5.5E-2</v>
      </c>
      <c r="E21" s="60">
        <v>4.2999999999999997E-2</v>
      </c>
      <c r="F21" s="60">
        <v>6.8000000000000005E-2</v>
      </c>
      <c r="G21" s="60">
        <v>5.0999999999999997E-2</v>
      </c>
      <c r="H21" s="60">
        <v>4.7E-2</v>
      </c>
      <c r="I21" s="60">
        <v>0.05</v>
      </c>
      <c r="J21" s="60">
        <v>4.9000000000000002E-2</v>
      </c>
      <c r="K21" s="60">
        <v>0.05</v>
      </c>
      <c r="L21" s="54"/>
      <c r="M21" s="60">
        <v>5.6942956614890163E-2</v>
      </c>
      <c r="N21" s="60">
        <v>1.6400434423898987E-2</v>
      </c>
    </row>
    <row r="22" spans="2:14" x14ac:dyDescent="0.2">
      <c r="C22" s="61">
        <f t="shared" si="0"/>
        <v>2011</v>
      </c>
      <c r="D22" s="62">
        <v>0.05</v>
      </c>
      <c r="E22" s="62">
        <v>4.4999999999999998E-2</v>
      </c>
      <c r="F22" s="62">
        <v>6.5000000000000002E-2</v>
      </c>
      <c r="G22" s="62">
        <v>4.9000000000000002E-2</v>
      </c>
      <c r="H22" s="62">
        <v>0.05</v>
      </c>
      <c r="I22" s="62">
        <v>4.4999999999999998E-2</v>
      </c>
      <c r="J22" s="62">
        <v>5.2999999999999999E-2</v>
      </c>
      <c r="K22" s="62">
        <v>4.9000000000000002E-2</v>
      </c>
      <c r="L22" s="54"/>
      <c r="M22" s="60">
        <v>6.4168751781585862E-2</v>
      </c>
      <c r="N22" s="60">
        <v>3.1568415686220437E-2</v>
      </c>
    </row>
    <row r="23" spans="2:14" x14ac:dyDescent="0.2">
      <c r="C23" s="63" t="s">
        <v>37</v>
      </c>
      <c r="D23" s="64">
        <f t="shared" ref="D23:N23" si="1">AVERAGE(D16:D22)</f>
        <v>5.6285714285714286E-2</v>
      </c>
      <c r="E23" s="64">
        <f t="shared" si="1"/>
        <v>4.4142857142857136E-2</v>
      </c>
      <c r="F23" s="64">
        <f t="shared" si="1"/>
        <v>6.9428571428571423E-2</v>
      </c>
      <c r="G23" s="64">
        <f t="shared" si="1"/>
        <v>5.6428571428571425E-2</v>
      </c>
      <c r="H23" s="64">
        <f t="shared" si="1"/>
        <v>5.6999999999999995E-2</v>
      </c>
      <c r="I23" s="64">
        <f t="shared" si="1"/>
        <v>5.2999999999999999E-2</v>
      </c>
      <c r="J23" s="64">
        <f t="shared" si="1"/>
        <v>5.6571428571428571E-2</v>
      </c>
      <c r="K23" s="64">
        <f t="shared" si="1"/>
        <v>5.0142857142857142E-2</v>
      </c>
      <c r="L23" s="47"/>
      <c r="M23" s="64">
        <f t="shared" si="1"/>
        <v>4.1479953712636387E-2</v>
      </c>
      <c r="N23" s="64">
        <f t="shared" si="1"/>
        <v>2.535965334453814E-2</v>
      </c>
    </row>
    <row r="24" spans="2:14" x14ac:dyDescent="0.2">
      <c r="C24" s="51" t="s">
        <v>38</v>
      </c>
      <c r="D24" s="48"/>
      <c r="E24" s="48"/>
      <c r="F24" s="65"/>
      <c r="G24" s="65"/>
      <c r="H24" s="65"/>
      <c r="I24" s="65"/>
      <c r="J24" s="65"/>
      <c r="K24" s="65"/>
      <c r="L24" s="48"/>
      <c r="M24" s="48"/>
      <c r="N24" s="48"/>
    </row>
    <row r="25" spans="2:14" x14ac:dyDescent="0.2">
      <c r="C25" s="51"/>
      <c r="D25" s="48"/>
      <c r="E25" s="48"/>
      <c r="F25" s="65"/>
      <c r="G25" s="65"/>
      <c r="H25" s="65"/>
      <c r="I25" s="65"/>
      <c r="J25" s="65"/>
      <c r="K25" s="65"/>
      <c r="L25" s="48"/>
      <c r="M25" s="48"/>
      <c r="N25" s="48"/>
    </row>
    <row r="26" spans="2:14" x14ac:dyDescent="0.2">
      <c r="B26" s="66" t="s">
        <v>40</v>
      </c>
      <c r="C26" s="51"/>
      <c r="D26" s="48"/>
      <c r="E26" s="48"/>
      <c r="F26" s="65"/>
      <c r="G26" s="65"/>
      <c r="H26" s="65"/>
      <c r="I26" s="65"/>
      <c r="J26" s="65"/>
      <c r="K26" s="65"/>
      <c r="L26" s="48"/>
      <c r="M26" s="48"/>
      <c r="N26" s="48"/>
    </row>
    <row r="27" spans="2:14" ht="4.5" customHeight="1" x14ac:dyDescent="0.2">
      <c r="B27" s="66"/>
      <c r="C27" s="51"/>
      <c r="D27" s="48"/>
      <c r="E27" s="48"/>
      <c r="F27" s="65"/>
      <c r="G27" s="65"/>
      <c r="H27" s="65"/>
      <c r="I27" s="65"/>
      <c r="J27" s="65"/>
      <c r="K27" s="65"/>
      <c r="L27" s="48"/>
      <c r="M27" s="48"/>
      <c r="N27" s="48"/>
    </row>
    <row r="28" spans="2:14" x14ac:dyDescent="0.2">
      <c r="B28" s="50" t="s">
        <v>45</v>
      </c>
    </row>
    <row r="29" spans="2:14" x14ac:dyDescent="0.2">
      <c r="B29" s="50" t="s">
        <v>46</v>
      </c>
    </row>
    <row r="30" spans="2:14" x14ac:dyDescent="0.2"/>
    <row r="31" spans="2:14" x14ac:dyDescent="0.2">
      <c r="B31" s="52" t="s">
        <v>48</v>
      </c>
    </row>
    <row r="32" spans="2:14" x14ac:dyDescent="0.2">
      <c r="B32" s="52" t="s">
        <v>47</v>
      </c>
    </row>
    <row r="33" spans="2:2" x14ac:dyDescent="0.2"/>
    <row r="34" spans="2:2" x14ac:dyDescent="0.2">
      <c r="B34" s="49" t="s">
        <v>49</v>
      </c>
    </row>
    <row r="35" spans="2:2" x14ac:dyDescent="0.2">
      <c r="B35" s="50" t="s">
        <v>51</v>
      </c>
    </row>
    <row r="36" spans="2:2" x14ac:dyDescent="0.2"/>
    <row r="37" spans="2:2" x14ac:dyDescent="0.2">
      <c r="B37" s="50" t="s">
        <v>52</v>
      </c>
    </row>
    <row r="38" spans="2:2" x14ac:dyDescent="0.2">
      <c r="B38" s="50" t="s">
        <v>53</v>
      </c>
    </row>
    <row r="39" spans="2:2" x14ac:dyDescent="0.2">
      <c r="B39" s="50" t="s">
        <v>54</v>
      </c>
    </row>
    <row r="40" spans="2:2" x14ac:dyDescent="0.2">
      <c r="B40" s="50" t="s">
        <v>55</v>
      </c>
    </row>
    <row r="41" spans="2:2" x14ac:dyDescent="0.2">
      <c r="B41" s="50" t="s">
        <v>56</v>
      </c>
    </row>
    <row r="42" spans="2:2" x14ac:dyDescent="0.2"/>
    <row r="43" spans="2:2" x14ac:dyDescent="0.2">
      <c r="B43" s="50" t="s">
        <v>57</v>
      </c>
    </row>
    <row r="44" spans="2:2" x14ac:dyDescent="0.2"/>
    <row r="45" spans="2:2" x14ac:dyDescent="0.2">
      <c r="B45" s="50" t="s">
        <v>58</v>
      </c>
    </row>
    <row r="46" spans="2:2" x14ac:dyDescent="0.2">
      <c r="B46" s="50" t="s">
        <v>59</v>
      </c>
    </row>
    <row r="47" spans="2:2" x14ac:dyDescent="0.2"/>
    <row r="48" spans="2:2" x14ac:dyDescent="0.2"/>
    <row r="49" x14ac:dyDescent="0.2"/>
    <row r="50" x14ac:dyDescent="0.2"/>
  </sheetData>
  <mergeCells count="4">
    <mergeCell ref="D14:E14"/>
    <mergeCell ref="F14:G14"/>
    <mergeCell ref="H14:I14"/>
    <mergeCell ref="J14:K14"/>
  </mergeCells>
  <pageMargins left="0.5" right="0.5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2"/>
  <sheetViews>
    <sheetView tabSelected="1" zoomScaleNormal="100" workbookViewId="0">
      <selection activeCell="J6" sqref="J6"/>
    </sheetView>
  </sheetViews>
  <sheetFormatPr defaultColWidth="0" defaultRowHeight="11.25" zeroHeight="1" x14ac:dyDescent="0.2"/>
  <cols>
    <col min="1" max="1" width="0.42578125" style="1" customWidth="1"/>
    <col min="2" max="2" width="0.85546875" style="11" customWidth="1"/>
    <col min="3" max="3" width="4" style="7" bestFit="1" customWidth="1"/>
    <col min="4" max="4" width="9" style="7" customWidth="1"/>
    <col min="5" max="5" width="4.5703125" style="7" customWidth="1"/>
    <col min="6" max="6" width="8.5703125" style="7" bestFit="1" customWidth="1"/>
    <col min="7" max="7" width="8.7109375" style="7" bestFit="1" customWidth="1"/>
    <col min="8" max="8" width="9.28515625" style="7" bestFit="1" customWidth="1"/>
    <col min="9" max="9" width="8.7109375" style="7" bestFit="1" customWidth="1"/>
    <col min="10" max="10" width="9.5703125" style="7" bestFit="1" customWidth="1"/>
    <col min="11" max="11" width="5.140625" style="11" bestFit="1" customWidth="1"/>
    <col min="12" max="12" width="1" style="11" customWidth="1"/>
    <col min="13" max="21" width="8.42578125" style="7" customWidth="1"/>
    <col min="22" max="22" width="9.5703125" style="7" bestFit="1" customWidth="1"/>
    <col min="23" max="23" width="0.85546875" style="7" customWidth="1"/>
    <col min="24" max="24" width="0.42578125" style="7" customWidth="1"/>
    <col min="25" max="27" width="10.7109375" style="7" hidden="1" customWidth="1"/>
    <col min="28" max="28" width="7.85546875" style="7" hidden="1" customWidth="1"/>
    <col min="29" max="29" width="5.7109375" style="7" hidden="1" customWidth="1"/>
    <col min="30" max="30" width="4.85546875" style="7" hidden="1" customWidth="1"/>
    <col min="31" max="31" width="5.140625" style="1" hidden="1" customWidth="1"/>
    <col min="32" max="33" width="10.7109375" style="1" hidden="1" customWidth="1"/>
    <col min="34" max="16384" width="9.140625" style="1" hidden="1"/>
  </cols>
  <sheetData>
    <row r="1" spans="1:41" x14ac:dyDescent="0.2">
      <c r="F1" s="74"/>
      <c r="G1" s="74"/>
      <c r="H1" s="74"/>
      <c r="I1" s="74"/>
      <c r="J1" s="74"/>
      <c r="K1" s="73"/>
    </row>
    <row r="2" spans="1:41" x14ac:dyDescent="0.2">
      <c r="F2" s="78"/>
      <c r="I2" s="74"/>
      <c r="J2" s="74"/>
      <c r="K2" s="73"/>
    </row>
    <row r="3" spans="1:41" ht="12.75" customHeight="1" x14ac:dyDescent="0.2">
      <c r="D3" s="22"/>
      <c r="F3" s="74"/>
      <c r="G3" s="74"/>
      <c r="H3" s="74"/>
      <c r="I3" s="74"/>
      <c r="J3" s="74"/>
      <c r="K3" s="73"/>
      <c r="AE3" s="7"/>
    </row>
    <row r="4" spans="1:41" x14ac:dyDescent="0.2">
      <c r="A4" s="70"/>
      <c r="B4" s="71"/>
      <c r="C4" s="72"/>
      <c r="D4" s="72"/>
      <c r="E4" s="72"/>
      <c r="F4" s="72"/>
      <c r="G4" s="72"/>
      <c r="H4" s="72"/>
      <c r="I4" s="72"/>
      <c r="J4" s="72"/>
      <c r="K4" s="71"/>
      <c r="L4" s="2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AA4" s="7" t="s">
        <v>17</v>
      </c>
      <c r="AB4" s="2">
        <f t="shared" ref="AB4:AD7" si="0">IF($AB$9="Narrowbody",AG4,AK4)</f>
        <v>2000000</v>
      </c>
      <c r="AC4" s="2">
        <f t="shared" si="0"/>
        <v>15000</v>
      </c>
      <c r="AD4" s="2">
        <f t="shared" si="0"/>
        <v>1000</v>
      </c>
      <c r="AE4" s="12">
        <v>0.03</v>
      </c>
      <c r="AG4" s="2">
        <v>2000000</v>
      </c>
      <c r="AH4" s="2">
        <v>15000</v>
      </c>
      <c r="AI4" s="2">
        <v>1000</v>
      </c>
      <c r="AK4" s="2">
        <v>5000000</v>
      </c>
      <c r="AL4" s="2">
        <v>10000</v>
      </c>
      <c r="AM4" s="2">
        <v>500</v>
      </c>
      <c r="AN4" s="32" t="s">
        <v>21</v>
      </c>
      <c r="AO4" s="29">
        <f>RATE(Term-1,,-D11,V24)</f>
        <v>5.5000000000000028E-2</v>
      </c>
    </row>
    <row r="5" spans="1:41" ht="13.5" customHeight="1" x14ac:dyDescent="0.2">
      <c r="A5" s="70"/>
      <c r="B5" s="73"/>
      <c r="C5" s="74"/>
      <c r="D5" s="75" t="s">
        <v>12</v>
      </c>
      <c r="E5" s="75"/>
      <c r="F5" s="75" t="s">
        <v>13</v>
      </c>
      <c r="G5" s="75"/>
      <c r="H5" s="75" t="s">
        <v>0</v>
      </c>
      <c r="I5" s="75"/>
      <c r="J5" s="75" t="s">
        <v>5</v>
      </c>
      <c r="K5" s="73"/>
      <c r="AA5" s="7" t="s">
        <v>18</v>
      </c>
      <c r="AB5" s="2">
        <f t="shared" si="0"/>
        <v>2500000</v>
      </c>
      <c r="AC5" s="2">
        <f t="shared" si="0"/>
        <v>20000</v>
      </c>
      <c r="AD5" s="2">
        <f t="shared" si="0"/>
        <v>1500</v>
      </c>
      <c r="AE5" s="12">
        <f t="shared" ref="AE5:AE10" si="1">AE4+0.005</f>
        <v>3.4999999999999996E-2</v>
      </c>
      <c r="AG5" s="2">
        <f>AG4+500000</f>
        <v>2500000</v>
      </c>
      <c r="AH5" s="2">
        <f t="shared" ref="AH5:AH7" si="2">AH4+5000</f>
        <v>20000</v>
      </c>
      <c r="AI5" s="2">
        <f t="shared" ref="AI5:AI8" si="3">AI4+500</f>
        <v>1500</v>
      </c>
      <c r="AK5" s="2">
        <f>AK4+1000000</f>
        <v>6000000</v>
      </c>
      <c r="AL5" s="2">
        <f t="shared" ref="AL5:AL6" si="4">AL4+5000</f>
        <v>15000</v>
      </c>
      <c r="AM5" s="2">
        <f>AM4+250</f>
        <v>750</v>
      </c>
      <c r="AN5" s="32" t="s">
        <v>22</v>
      </c>
      <c r="AO5" s="31">
        <f>RATE(Term-1,,-Stack_Cost,V25)</f>
        <v>2.9687204379572431E-2</v>
      </c>
    </row>
    <row r="6" spans="1:41" x14ac:dyDescent="0.2">
      <c r="A6" s="70"/>
      <c r="B6" s="73"/>
      <c r="C6" s="74"/>
      <c r="D6" s="76">
        <v>2500000</v>
      </c>
      <c r="E6" s="74"/>
      <c r="F6" s="76">
        <v>20000</v>
      </c>
      <c r="G6" s="74"/>
      <c r="H6" s="76">
        <v>1000</v>
      </c>
      <c r="I6" s="74"/>
      <c r="J6" s="77">
        <v>5.4999999999999986E-2</v>
      </c>
      <c r="K6" s="73"/>
      <c r="R6" s="15"/>
      <c r="S6" s="15"/>
      <c r="T6" s="15"/>
      <c r="U6" s="15"/>
      <c r="V6" s="15"/>
      <c r="AB6" s="2">
        <f t="shared" si="0"/>
        <v>3000000</v>
      </c>
      <c r="AC6" s="2">
        <f t="shared" si="0"/>
        <v>25000</v>
      </c>
      <c r="AD6" s="2">
        <f t="shared" si="0"/>
        <v>2000</v>
      </c>
      <c r="AE6" s="12">
        <f t="shared" si="1"/>
        <v>3.9999999999999994E-2</v>
      </c>
      <c r="AG6" s="2">
        <f>AG5+500000</f>
        <v>3000000</v>
      </c>
      <c r="AH6" s="2">
        <f t="shared" si="2"/>
        <v>25000</v>
      </c>
      <c r="AI6" s="2">
        <f t="shared" si="3"/>
        <v>2000</v>
      </c>
      <c r="AK6" s="2">
        <f t="shared" ref="AK6:AK7" si="5">AK5+1000000</f>
        <v>7000000</v>
      </c>
      <c r="AL6" s="2">
        <f t="shared" si="4"/>
        <v>20000</v>
      </c>
      <c r="AM6" s="2">
        <f t="shared" ref="AM6:AM8" si="6">AM5+250</f>
        <v>1000</v>
      </c>
    </row>
    <row r="7" spans="1:41" ht="6" customHeight="1" x14ac:dyDescent="0.2">
      <c r="A7" s="70"/>
      <c r="B7" s="73"/>
      <c r="C7" s="70"/>
      <c r="D7" s="74"/>
      <c r="E7" s="74"/>
      <c r="F7" s="74"/>
      <c r="G7" s="74"/>
      <c r="H7" s="74"/>
      <c r="I7" s="74"/>
      <c r="J7" s="74"/>
      <c r="K7" s="73"/>
      <c r="R7" s="20"/>
      <c r="S7" s="15"/>
      <c r="T7" s="15"/>
      <c r="U7" s="15"/>
      <c r="V7" s="15"/>
      <c r="AB7" s="2">
        <f t="shared" si="0"/>
        <v>3500000</v>
      </c>
      <c r="AC7" s="2">
        <f t="shared" si="0"/>
        <v>30000</v>
      </c>
      <c r="AD7" s="2">
        <f t="shared" si="0"/>
        <v>2500</v>
      </c>
      <c r="AE7" s="12">
        <f t="shared" si="1"/>
        <v>4.4999999999999991E-2</v>
      </c>
      <c r="AG7" s="2">
        <f>AG6+500000</f>
        <v>3500000</v>
      </c>
      <c r="AH7" s="2">
        <f t="shared" si="2"/>
        <v>30000</v>
      </c>
      <c r="AI7" s="2">
        <f t="shared" si="3"/>
        <v>2500</v>
      </c>
      <c r="AK7" s="2">
        <f t="shared" si="5"/>
        <v>8000000</v>
      </c>
      <c r="AL7" s="2" t="str">
        <f>""</f>
        <v/>
      </c>
      <c r="AM7" s="2">
        <f t="shared" si="6"/>
        <v>1250</v>
      </c>
    </row>
    <row r="8" spans="1:41" ht="15" customHeight="1" x14ac:dyDescent="0.2">
      <c r="A8" s="80"/>
      <c r="B8" s="81">
        <f>(ROW()+2)+Term</f>
        <v>30</v>
      </c>
      <c r="C8" s="82"/>
      <c r="D8" s="82"/>
      <c r="E8" s="83" t="s">
        <v>9</v>
      </c>
      <c r="F8" s="83" t="s">
        <v>6</v>
      </c>
      <c r="G8" s="89" t="s">
        <v>10</v>
      </c>
      <c r="H8" s="89"/>
      <c r="I8" s="83" t="s">
        <v>4</v>
      </c>
      <c r="J8" s="89" t="s">
        <v>28</v>
      </c>
      <c r="K8" s="90"/>
      <c r="L8" s="14"/>
      <c r="M8" s="91" t="s">
        <v>11</v>
      </c>
      <c r="N8" s="92"/>
      <c r="O8" s="92"/>
      <c r="P8" s="92"/>
      <c r="Q8" s="92"/>
      <c r="R8" s="92"/>
      <c r="S8" s="92"/>
      <c r="T8" s="92"/>
      <c r="U8" s="92"/>
      <c r="V8" s="93"/>
      <c r="AB8" s="2">
        <f>IF($AB$9="Narrowbody",AG8,AK8)</f>
        <v>4000000</v>
      </c>
      <c r="AD8" s="2">
        <f>IF($AB$9="Narrowbody",AI8,AM8)</f>
        <v>3000</v>
      </c>
      <c r="AE8" s="12">
        <f t="shared" si="1"/>
        <v>4.9999999999999989E-2</v>
      </c>
      <c r="AG8" s="2">
        <f>AG7+500000</f>
        <v>4000000</v>
      </c>
      <c r="AH8" s="7"/>
      <c r="AI8" s="2">
        <f t="shared" si="3"/>
        <v>3000</v>
      </c>
      <c r="AK8" s="2" t="str">
        <f>""</f>
        <v/>
      </c>
      <c r="AL8" s="7"/>
      <c r="AM8" s="2">
        <f t="shared" si="6"/>
        <v>1500</v>
      </c>
    </row>
    <row r="9" spans="1:41" ht="11.25" customHeight="1" x14ac:dyDescent="0.2">
      <c r="A9" s="80"/>
      <c r="B9" s="84">
        <f>Term</f>
        <v>20</v>
      </c>
      <c r="C9" s="85" t="s">
        <v>23</v>
      </c>
      <c r="D9" s="85" t="s">
        <v>2</v>
      </c>
      <c r="E9" s="85" t="s">
        <v>1</v>
      </c>
      <c r="F9" s="85" t="s">
        <v>8</v>
      </c>
      <c r="G9" s="85" t="s">
        <v>7</v>
      </c>
      <c r="H9" s="85" t="s">
        <v>6</v>
      </c>
      <c r="I9" s="85" t="s">
        <v>3</v>
      </c>
      <c r="J9" s="85" t="s">
        <v>24</v>
      </c>
      <c r="K9" s="86" t="s">
        <v>25</v>
      </c>
      <c r="L9" s="14"/>
      <c r="M9" s="67"/>
      <c r="N9" s="68"/>
      <c r="O9" s="68"/>
      <c r="P9" s="68"/>
      <c r="Q9" s="68"/>
      <c r="R9" s="68"/>
      <c r="S9" s="68"/>
      <c r="T9" s="68"/>
      <c r="U9" s="68"/>
      <c r="V9" s="69"/>
      <c r="AA9" s="78" t="s">
        <v>19</v>
      </c>
      <c r="AB9" s="79" t="s">
        <v>17</v>
      </c>
      <c r="AD9" s="2"/>
      <c r="AE9" s="12">
        <f t="shared" si="1"/>
        <v>5.4999999999999986E-2</v>
      </c>
      <c r="AG9" s="2"/>
      <c r="AH9" s="7"/>
      <c r="AI9" s="2"/>
      <c r="AK9" s="2" t="str">
        <f>""</f>
        <v/>
      </c>
      <c r="AL9" s="7"/>
      <c r="AM9" s="2" t="str">
        <f>""</f>
        <v/>
      </c>
    </row>
    <row r="10" spans="1:41" ht="5.25" customHeight="1" x14ac:dyDescent="0.2">
      <c r="M10" s="17"/>
      <c r="N10" s="15"/>
      <c r="O10" s="15"/>
      <c r="P10" s="15"/>
      <c r="Q10" s="15"/>
      <c r="R10" s="15"/>
      <c r="S10" s="15"/>
      <c r="T10" s="15"/>
      <c r="U10" s="15"/>
      <c r="V10" s="18"/>
      <c r="AB10" s="2"/>
      <c r="AD10" s="2"/>
      <c r="AE10" s="12">
        <f t="shared" si="1"/>
        <v>5.9999999999999984E-2</v>
      </c>
      <c r="AG10" s="2"/>
      <c r="AH10" s="7"/>
      <c r="AI10" s="2"/>
      <c r="AK10" s="2"/>
      <c r="AL10" s="7"/>
      <c r="AM10" s="2" t="str">
        <f>""</f>
        <v/>
      </c>
    </row>
    <row r="11" spans="1:41" x14ac:dyDescent="0.2">
      <c r="B11" s="11">
        <v>1</v>
      </c>
      <c r="C11" s="7">
        <v>1</v>
      </c>
      <c r="D11" s="8">
        <f>Stack_Cost</f>
        <v>2500000</v>
      </c>
      <c r="E11" s="22">
        <f>IF(C11="","",D11/LLP_Limiter)</f>
        <v>125</v>
      </c>
      <c r="F11" s="2">
        <f>IF(C11="","",Annual_FC)</f>
        <v>1000</v>
      </c>
      <c r="G11" s="2">
        <f>IF(C11="","",E11*$H$6)</f>
        <v>125000</v>
      </c>
      <c r="H11" s="9">
        <f>IF(C11="","",H10+G11)</f>
        <v>125000</v>
      </c>
      <c r="I11" s="9">
        <f t="shared" ref="I11:I22" si="7">IF(C11="","",E11*F11)</f>
        <v>125000</v>
      </c>
      <c r="J11" s="10">
        <f>IF(C11="","",H11-I11)</f>
        <v>0</v>
      </c>
      <c r="K11" s="40">
        <f>IF(C11="","",(I11/D11)-(H11/D11))</f>
        <v>0</v>
      </c>
      <c r="M11" s="17"/>
      <c r="N11" s="15"/>
      <c r="O11" s="15"/>
      <c r="P11" s="15"/>
      <c r="Q11" s="15"/>
      <c r="R11" s="15"/>
      <c r="S11" s="15"/>
      <c r="T11" s="15"/>
      <c r="U11" s="15"/>
      <c r="V11" s="18"/>
      <c r="Y11" s="38"/>
      <c r="Z11" s="38"/>
      <c r="AA11" s="39"/>
      <c r="AB11" s="2"/>
      <c r="AD11" s="2"/>
      <c r="AE11" s="7"/>
    </row>
    <row r="12" spans="1:41" x14ac:dyDescent="0.2">
      <c r="B12" s="11">
        <f t="shared" ref="B12:B40" si="8">IF(C12="","",IF(B11+1&gt;$B$8,"",B11+1))</f>
        <v>2</v>
      </c>
      <c r="C12" s="7">
        <f t="shared" ref="C12:C25" si="9">IF(C11="","",IF(F11+Annual_FC&lt;(LLP_Limiter+Annual_FC),C11+1,""))</f>
        <v>2</v>
      </c>
      <c r="D12" s="8">
        <f>IF(C12="","",FV(Escalation,C11,0,-Stack_Cost,0))</f>
        <v>2637500</v>
      </c>
      <c r="E12" s="22">
        <f t="shared" ref="E12:E22" si="10">IF(C12="","",D12/LLP_Limiter)</f>
        <v>131.875</v>
      </c>
      <c r="F12" s="2">
        <f>IF(C12="","",IF(F11+Annual_FC&gt;LLP_Limiter,LLP_Limiter,F11+Annual_FC))</f>
        <v>2000</v>
      </c>
      <c r="G12" s="2">
        <f>IF(C12="","",E12*(F12-F11))</f>
        <v>131875</v>
      </c>
      <c r="H12" s="9">
        <f>IF(C12="","",H11+G12)</f>
        <v>256875</v>
      </c>
      <c r="I12" s="9">
        <f>IF(C12="","",E12*F12)</f>
        <v>263750</v>
      </c>
      <c r="J12" s="10">
        <f t="shared" ref="J12:J22" si="11">IF(C12="","",H12-I12)</f>
        <v>-6875</v>
      </c>
      <c r="K12" s="40">
        <f t="shared" ref="K12:K24" si="12">IF(C12="","",(I12/D12)-(H12/D12))</f>
        <v>2.6066350710900466E-3</v>
      </c>
      <c r="L12" s="11">
        <f t="shared" ref="L12:L24" si="13">IF(C11="","",-J11)</f>
        <v>0</v>
      </c>
      <c r="M12" s="17"/>
      <c r="N12" s="15"/>
      <c r="O12" s="15"/>
      <c r="P12" s="15"/>
      <c r="Q12" s="15"/>
      <c r="R12" s="15"/>
      <c r="S12" s="15"/>
      <c r="T12" s="15"/>
      <c r="U12" s="15"/>
      <c r="V12" s="18"/>
      <c r="Y12" s="38"/>
      <c r="Z12" s="38"/>
      <c r="AA12" s="39"/>
      <c r="AB12" s="2"/>
      <c r="AD12" s="2"/>
      <c r="AE12" s="7"/>
    </row>
    <row r="13" spans="1:41" x14ac:dyDescent="0.2">
      <c r="B13" s="11">
        <f t="shared" si="8"/>
        <v>3</v>
      </c>
      <c r="C13" s="7">
        <f t="shared" si="9"/>
        <v>3</v>
      </c>
      <c r="D13" s="8">
        <f t="shared" ref="D13:D22" si="14">IF(C13="","",FV(Escalation,C12,0,-Stack_Cost,0))</f>
        <v>2782562.5</v>
      </c>
      <c r="E13" s="22">
        <f t="shared" si="10"/>
        <v>139.12812500000001</v>
      </c>
      <c r="F13" s="2">
        <f t="shared" ref="F13:F22" si="15">IF(C13="","",IF(F12+Annual_FC&gt;LLP_Limiter,LLP_Limiter,F12+Annual_FC))</f>
        <v>3000</v>
      </c>
      <c r="G13" s="2">
        <f t="shared" ref="G13:G22" si="16">IF(C13="","",E13*(F13-F12))</f>
        <v>139128.125</v>
      </c>
      <c r="H13" s="9">
        <f t="shared" ref="H13:H22" si="17">IF(C13="","",H12+G13)</f>
        <v>396003.125</v>
      </c>
      <c r="I13" s="9">
        <f>IF(C13="","",E13*F13)</f>
        <v>417384.37500000006</v>
      </c>
      <c r="J13" s="10">
        <f t="shared" si="11"/>
        <v>-21381.250000000058</v>
      </c>
      <c r="K13" s="40">
        <f t="shared" si="12"/>
        <v>7.6840142853934201E-3</v>
      </c>
      <c r="L13" s="11">
        <f t="shared" si="13"/>
        <v>6875</v>
      </c>
      <c r="M13" s="17"/>
      <c r="N13" s="15"/>
      <c r="O13" s="15"/>
      <c r="P13" s="15"/>
      <c r="Q13" s="15"/>
      <c r="R13" s="15"/>
      <c r="S13" s="15"/>
      <c r="T13" s="15"/>
      <c r="U13" s="15"/>
      <c r="V13" s="18"/>
      <c r="Y13" s="38"/>
      <c r="Z13" s="38"/>
      <c r="AA13" s="39"/>
      <c r="AD13" s="2"/>
      <c r="AE13" s="12"/>
    </row>
    <row r="14" spans="1:41" x14ac:dyDescent="0.2">
      <c r="B14" s="11">
        <f t="shared" si="8"/>
        <v>4</v>
      </c>
      <c r="C14" s="7">
        <f t="shared" si="9"/>
        <v>4</v>
      </c>
      <c r="D14" s="8">
        <f t="shared" si="14"/>
        <v>2935603.4374999995</v>
      </c>
      <c r="E14" s="22">
        <f>IF(C14="","",D14/LLP_Limiter)</f>
        <v>146.78017187499998</v>
      </c>
      <c r="F14" s="2">
        <f t="shared" si="15"/>
        <v>4000</v>
      </c>
      <c r="G14" s="2">
        <f t="shared" si="16"/>
        <v>146780.17187499997</v>
      </c>
      <c r="H14" s="9">
        <f>IF(C14="","",H13+G14)</f>
        <v>542783.296875</v>
      </c>
      <c r="I14" s="9">
        <f>IF(C14="","",E14*F14)</f>
        <v>587120.68749999988</v>
      </c>
      <c r="J14" s="10">
        <f t="shared" si="11"/>
        <v>-44337.390624999884</v>
      </c>
      <c r="K14" s="40">
        <f t="shared" si="12"/>
        <v>1.5103331076202237E-2</v>
      </c>
      <c r="L14" s="11">
        <f t="shared" si="13"/>
        <v>21381.250000000058</v>
      </c>
      <c r="M14" s="17"/>
      <c r="N14" s="15"/>
      <c r="O14" s="15"/>
      <c r="P14" s="15"/>
      <c r="Q14" s="15"/>
      <c r="R14" s="15"/>
      <c r="S14" s="15"/>
      <c r="T14" s="15"/>
      <c r="U14" s="15"/>
      <c r="V14" s="18"/>
      <c r="Y14" s="38"/>
      <c r="Z14" s="38"/>
      <c r="AA14" s="39"/>
    </row>
    <row r="15" spans="1:41" x14ac:dyDescent="0.2">
      <c r="B15" s="11">
        <f t="shared" si="8"/>
        <v>5</v>
      </c>
      <c r="C15" s="7">
        <f t="shared" si="9"/>
        <v>5</v>
      </c>
      <c r="D15" s="8">
        <f t="shared" si="14"/>
        <v>3097061.6265624994</v>
      </c>
      <c r="E15" s="22">
        <f t="shared" si="10"/>
        <v>154.85308132812497</v>
      </c>
      <c r="F15" s="2">
        <f>IF(C15="","",IF(F14+Annual_FC&gt;LLP_Limiter,LLP_Limiter,F14+Annual_FC))</f>
        <v>5000</v>
      </c>
      <c r="G15" s="2">
        <f t="shared" si="16"/>
        <v>154853.08132812497</v>
      </c>
      <c r="H15" s="9">
        <f t="shared" si="17"/>
        <v>697636.37820312497</v>
      </c>
      <c r="I15" s="9">
        <f>IF(C15="","",E15*F15)</f>
        <v>774265.40664062486</v>
      </c>
      <c r="J15" s="10">
        <f t="shared" si="11"/>
        <v>-76629.028437499888</v>
      </c>
      <c r="K15" s="40">
        <f t="shared" si="12"/>
        <v>2.4742493911092178E-2</v>
      </c>
      <c r="L15" s="11">
        <f t="shared" si="13"/>
        <v>44337.390624999884</v>
      </c>
      <c r="M15" s="17"/>
      <c r="N15" s="15"/>
      <c r="O15" s="15"/>
      <c r="P15" s="15"/>
      <c r="Q15" s="15"/>
      <c r="R15" s="15"/>
      <c r="S15" s="15"/>
      <c r="T15" s="15"/>
      <c r="U15" s="15"/>
      <c r="V15" s="18"/>
      <c r="Y15" s="38"/>
      <c r="Z15" s="38"/>
      <c r="AA15" s="39"/>
    </row>
    <row r="16" spans="1:41" x14ac:dyDescent="0.2">
      <c r="B16" s="11">
        <f t="shared" si="8"/>
        <v>6</v>
      </c>
      <c r="C16" s="7">
        <f t="shared" si="9"/>
        <v>6</v>
      </c>
      <c r="D16" s="8">
        <f t="shared" si="14"/>
        <v>3267400.0160234366</v>
      </c>
      <c r="E16" s="22">
        <f t="shared" si="10"/>
        <v>163.37000080117184</v>
      </c>
      <c r="F16" s="2">
        <f t="shared" si="15"/>
        <v>6000</v>
      </c>
      <c r="G16" s="2">
        <f t="shared" si="16"/>
        <v>163370.00080117185</v>
      </c>
      <c r="H16" s="9">
        <f t="shared" si="17"/>
        <v>861006.37900429685</v>
      </c>
      <c r="I16" s="9">
        <f t="shared" si="7"/>
        <v>980220.00480703101</v>
      </c>
      <c r="J16" s="10">
        <f t="shared" si="11"/>
        <v>-119213.62580273417</v>
      </c>
      <c r="K16" s="40">
        <f t="shared" si="12"/>
        <v>3.6485776219044697E-2</v>
      </c>
      <c r="L16" s="11">
        <f t="shared" si="13"/>
        <v>76629.028437499888</v>
      </c>
      <c r="M16" s="17"/>
      <c r="N16" s="15"/>
      <c r="O16" s="15"/>
      <c r="P16" s="15"/>
      <c r="Q16" s="15"/>
      <c r="R16" s="15"/>
      <c r="S16" s="15"/>
      <c r="T16" s="15"/>
      <c r="U16" s="15"/>
      <c r="V16" s="18"/>
      <c r="Y16" s="38"/>
      <c r="Z16" s="38"/>
      <c r="AA16" s="39"/>
    </row>
    <row r="17" spans="2:30" x14ac:dyDescent="0.2">
      <c r="B17" s="11">
        <f t="shared" si="8"/>
        <v>7</v>
      </c>
      <c r="C17" s="7">
        <f t="shared" si="9"/>
        <v>7</v>
      </c>
      <c r="D17" s="8">
        <f t="shared" si="14"/>
        <v>3447107.0169047257</v>
      </c>
      <c r="E17" s="22">
        <f>IF(C17="","",D17/LLP_Limiter)</f>
        <v>172.35535084523627</v>
      </c>
      <c r="F17" s="2">
        <f t="shared" si="15"/>
        <v>7000</v>
      </c>
      <c r="G17" s="2">
        <f t="shared" si="16"/>
        <v>172355.35084523627</v>
      </c>
      <c r="H17" s="9">
        <f t="shared" si="17"/>
        <v>1033361.7298495332</v>
      </c>
      <c r="I17" s="9">
        <f t="shared" si="7"/>
        <v>1206487.4559166539</v>
      </c>
      <c r="J17" s="10">
        <f t="shared" si="11"/>
        <v>-173125.72606712067</v>
      </c>
      <c r="K17" s="40">
        <f t="shared" si="12"/>
        <v>5.0223484567814836E-2</v>
      </c>
      <c r="L17" s="11">
        <f t="shared" si="13"/>
        <v>119213.62580273417</v>
      </c>
      <c r="M17" s="17"/>
      <c r="N17" s="15"/>
      <c r="O17" s="15"/>
      <c r="P17" s="15"/>
      <c r="Q17" s="15"/>
      <c r="R17" s="15"/>
      <c r="S17" s="15"/>
      <c r="T17" s="15"/>
      <c r="U17" s="15"/>
      <c r="V17" s="18"/>
      <c r="W17" s="1"/>
      <c r="X17" s="1"/>
      <c r="Y17" s="38"/>
      <c r="Z17" s="38"/>
      <c r="AA17" s="39"/>
      <c r="AB17" s="1"/>
      <c r="AC17" s="1"/>
      <c r="AD17" s="1"/>
    </row>
    <row r="18" spans="2:30" x14ac:dyDescent="0.2">
      <c r="B18" s="11">
        <f t="shared" si="8"/>
        <v>8</v>
      </c>
      <c r="C18" s="7">
        <f t="shared" si="9"/>
        <v>8</v>
      </c>
      <c r="D18" s="8">
        <f t="shared" si="14"/>
        <v>3636697.9028344853</v>
      </c>
      <c r="E18" s="22">
        <f t="shared" si="10"/>
        <v>181.83489514172427</v>
      </c>
      <c r="F18" s="2">
        <f t="shared" si="15"/>
        <v>8000</v>
      </c>
      <c r="G18" s="2">
        <f t="shared" si="16"/>
        <v>181834.89514172426</v>
      </c>
      <c r="H18" s="9">
        <f t="shared" si="17"/>
        <v>1215196.6249912574</v>
      </c>
      <c r="I18" s="9">
        <f>IF(C18="","",E18*F18)</f>
        <v>1454679.1611337941</v>
      </c>
      <c r="J18" s="10">
        <f t="shared" si="11"/>
        <v>-239482.53614253667</v>
      </c>
      <c r="K18" s="40">
        <f t="shared" si="12"/>
        <v>6.5851644140108856E-2</v>
      </c>
      <c r="L18" s="11">
        <f t="shared" si="13"/>
        <v>173125.72606712067</v>
      </c>
      <c r="M18" s="17"/>
      <c r="N18" s="15"/>
      <c r="O18" s="15"/>
      <c r="P18" s="15"/>
      <c r="Q18" s="15"/>
      <c r="R18" s="15"/>
      <c r="S18" s="15"/>
      <c r="T18" s="15"/>
      <c r="U18" s="15"/>
      <c r="V18" s="18"/>
      <c r="W18" s="1"/>
      <c r="X18" s="1"/>
      <c r="Y18" s="38"/>
      <c r="Z18" s="38"/>
      <c r="AA18" s="39"/>
      <c r="AB18" s="1"/>
      <c r="AC18" s="1"/>
      <c r="AD18" s="1"/>
    </row>
    <row r="19" spans="2:30" x14ac:dyDescent="0.2">
      <c r="B19" s="11">
        <f t="shared" si="8"/>
        <v>9</v>
      </c>
      <c r="C19" s="7">
        <f t="shared" si="9"/>
        <v>9</v>
      </c>
      <c r="D19" s="8">
        <f t="shared" si="14"/>
        <v>3836716.2874903819</v>
      </c>
      <c r="E19" s="22">
        <f t="shared" si="10"/>
        <v>191.83581437451909</v>
      </c>
      <c r="F19" s="2">
        <f t="shared" si="15"/>
        <v>9000</v>
      </c>
      <c r="G19" s="2">
        <f t="shared" si="16"/>
        <v>191835.81437451908</v>
      </c>
      <c r="H19" s="9">
        <f t="shared" si="17"/>
        <v>1407032.4393657765</v>
      </c>
      <c r="I19" s="9">
        <f>IF(C19="","",E19*F19)</f>
        <v>1726522.3293706719</v>
      </c>
      <c r="J19" s="10">
        <f t="shared" si="11"/>
        <v>-319489.89000489539</v>
      </c>
      <c r="K19" s="40">
        <f t="shared" si="12"/>
        <v>8.3271700606738275E-2</v>
      </c>
      <c r="L19" s="11">
        <f t="shared" si="13"/>
        <v>239482.53614253667</v>
      </c>
      <c r="M19" s="17"/>
      <c r="N19" s="15"/>
      <c r="O19" s="15"/>
      <c r="P19" s="15"/>
      <c r="Q19" s="15"/>
      <c r="R19" s="15"/>
      <c r="S19" s="15"/>
      <c r="T19" s="15"/>
      <c r="U19" s="15"/>
      <c r="V19" s="18"/>
      <c r="W19" s="1"/>
      <c r="X19" s="1"/>
      <c r="Y19" s="38"/>
      <c r="Z19" s="38"/>
      <c r="AA19" s="39"/>
      <c r="AB19" s="1"/>
      <c r="AC19" s="1"/>
      <c r="AD19" s="1"/>
    </row>
    <row r="20" spans="2:30" x14ac:dyDescent="0.2">
      <c r="B20" s="11">
        <f t="shared" si="8"/>
        <v>10</v>
      </c>
      <c r="C20" s="7">
        <f t="shared" si="9"/>
        <v>10</v>
      </c>
      <c r="D20" s="8">
        <f t="shared" si="14"/>
        <v>4047735.6833023531</v>
      </c>
      <c r="E20" s="22">
        <f t="shared" si="10"/>
        <v>202.38678416511766</v>
      </c>
      <c r="F20" s="2">
        <f t="shared" si="15"/>
        <v>10000</v>
      </c>
      <c r="G20" s="2">
        <f t="shared" si="16"/>
        <v>202386.78416511766</v>
      </c>
      <c r="H20" s="9">
        <f t="shared" si="17"/>
        <v>1609419.2235308941</v>
      </c>
      <c r="I20" s="9">
        <f t="shared" si="7"/>
        <v>2023867.8416511766</v>
      </c>
      <c r="J20" s="10">
        <f t="shared" si="11"/>
        <v>-414448.61812028242</v>
      </c>
      <c r="K20" s="40">
        <f t="shared" si="12"/>
        <v>0.10239023754193199</v>
      </c>
      <c r="L20" s="11">
        <f t="shared" si="13"/>
        <v>319489.89000489539</v>
      </c>
      <c r="M20" s="19"/>
      <c r="N20" s="20"/>
      <c r="O20" s="20"/>
      <c r="P20" s="20"/>
      <c r="Q20" s="20"/>
      <c r="R20" s="20"/>
      <c r="S20" s="20"/>
      <c r="T20" s="20"/>
      <c r="U20" s="20"/>
      <c r="V20" s="21"/>
      <c r="W20" s="1"/>
      <c r="X20" s="1"/>
      <c r="Y20" s="38"/>
      <c r="Z20" s="38"/>
      <c r="AA20" s="39"/>
      <c r="AB20" s="1"/>
      <c r="AC20" s="1"/>
      <c r="AD20" s="1"/>
    </row>
    <row r="21" spans="2:30" x14ac:dyDescent="0.2">
      <c r="B21" s="11">
        <f t="shared" si="8"/>
        <v>11</v>
      </c>
      <c r="C21" s="7">
        <f t="shared" si="9"/>
        <v>11</v>
      </c>
      <c r="D21" s="8">
        <f t="shared" si="14"/>
        <v>4270361.1458839821</v>
      </c>
      <c r="E21" s="22">
        <f t="shared" si="10"/>
        <v>213.51805729419911</v>
      </c>
      <c r="F21" s="2">
        <f t="shared" si="15"/>
        <v>11000</v>
      </c>
      <c r="G21" s="2">
        <f t="shared" si="16"/>
        <v>213518.0572941991</v>
      </c>
      <c r="H21" s="9">
        <f t="shared" si="17"/>
        <v>1822937.2808250932</v>
      </c>
      <c r="I21" s="9">
        <f t="shared" si="7"/>
        <v>2348698.6302361903</v>
      </c>
      <c r="J21" s="10">
        <f t="shared" si="11"/>
        <v>-525761.34941109712</v>
      </c>
      <c r="K21" s="40">
        <f t="shared" si="12"/>
        <v>0.12311870857055168</v>
      </c>
      <c r="L21" s="11">
        <f t="shared" si="13"/>
        <v>414448.61812028242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"/>
      <c r="X21" s="1"/>
      <c r="Y21" s="38"/>
      <c r="Z21" s="38"/>
      <c r="AA21" s="39"/>
      <c r="AB21" s="1"/>
      <c r="AC21" s="1"/>
      <c r="AD21" s="1"/>
    </row>
    <row r="22" spans="2:30" ht="12" x14ac:dyDescent="0.2">
      <c r="B22" s="11">
        <f t="shared" si="8"/>
        <v>12</v>
      </c>
      <c r="C22" s="7">
        <f t="shared" si="9"/>
        <v>12</v>
      </c>
      <c r="D22" s="8">
        <f t="shared" si="14"/>
        <v>4505231.0089076012</v>
      </c>
      <c r="E22" s="22">
        <f t="shared" si="10"/>
        <v>225.26155044538007</v>
      </c>
      <c r="F22" s="2">
        <f t="shared" si="15"/>
        <v>12000</v>
      </c>
      <c r="G22" s="2">
        <f t="shared" si="16"/>
        <v>225261.55044538007</v>
      </c>
      <c r="H22" s="9">
        <f t="shared" si="17"/>
        <v>2048198.8312704733</v>
      </c>
      <c r="I22" s="9">
        <f t="shared" si="7"/>
        <v>2703138.6053445609</v>
      </c>
      <c r="J22" s="10">
        <f t="shared" si="11"/>
        <v>-654939.77407408762</v>
      </c>
      <c r="K22" s="40">
        <f t="shared" si="12"/>
        <v>0.14537318347919598</v>
      </c>
      <c r="L22" s="11">
        <f t="shared" si="13"/>
        <v>525761.34941109712</v>
      </c>
      <c r="M22" s="33" t="s">
        <v>20</v>
      </c>
      <c r="N22" s="16"/>
      <c r="O22" s="16"/>
      <c r="P22" s="16"/>
      <c r="Q22" s="16"/>
      <c r="R22" s="16"/>
      <c r="S22" s="34"/>
      <c r="T22" s="35"/>
      <c r="U22" s="36"/>
      <c r="V22" s="37"/>
      <c r="W22" s="1"/>
      <c r="X22" s="1"/>
      <c r="Y22" s="38"/>
      <c r="Z22" s="38"/>
      <c r="AA22" s="39"/>
      <c r="AB22" s="1"/>
      <c r="AC22" s="1"/>
      <c r="AD22" s="1"/>
    </row>
    <row r="23" spans="2:30" x14ac:dyDescent="0.2">
      <c r="B23" s="11">
        <f t="shared" si="8"/>
        <v>13</v>
      </c>
      <c r="C23" s="7">
        <f t="shared" si="9"/>
        <v>13</v>
      </c>
      <c r="D23" s="8">
        <f t="shared" ref="D23:D25" si="18">IF(C23="","",FV(Escalation,C22,0,-Stack_Cost,0))</f>
        <v>4753018.7143975189</v>
      </c>
      <c r="E23" s="22">
        <f t="shared" ref="E23:E25" si="19">IF(C23="","",D23/LLP_Limiter)</f>
        <v>237.65093571987595</v>
      </c>
      <c r="F23" s="2">
        <f t="shared" ref="F23:F25" si="20">IF(C23="","",IF(F22+Annual_FC&gt;LLP_Limiter,LLP_Limiter,F22+Annual_FC))</f>
        <v>13000</v>
      </c>
      <c r="G23" s="2">
        <f t="shared" ref="G23:G25" si="21">IF(C23="","",E23*(F23-F22))</f>
        <v>237650.93571987594</v>
      </c>
      <c r="H23" s="9">
        <f t="shared" ref="H23:H25" si="22">IF(C23="","",H22+G23)</f>
        <v>2285849.7669903492</v>
      </c>
      <c r="I23" s="9">
        <f t="shared" ref="I23:I25" si="23">IF(C23="","",E23*F23)</f>
        <v>3089462.1643583872</v>
      </c>
      <c r="J23" s="10">
        <f t="shared" ref="J23:J25" si="24">IF(C23="","",H23-I23)</f>
        <v>-803612.39736803807</v>
      </c>
      <c r="K23" s="40">
        <f t="shared" si="12"/>
        <v>0.16907410756321883</v>
      </c>
      <c r="L23" s="11">
        <f t="shared" si="13"/>
        <v>654939.77407408762</v>
      </c>
      <c r="M23" s="17"/>
      <c r="N23" s="15"/>
      <c r="O23" s="15"/>
      <c r="P23" s="15"/>
      <c r="Q23" s="15"/>
      <c r="R23" s="15"/>
      <c r="S23" s="15"/>
      <c r="T23" s="15"/>
      <c r="U23" s="15"/>
      <c r="V23" s="18"/>
      <c r="W23" s="1"/>
      <c r="X23" s="1"/>
      <c r="Y23" s="38"/>
      <c r="Z23" s="38"/>
      <c r="AA23" s="39"/>
      <c r="AB23" s="1"/>
      <c r="AC23" s="1"/>
      <c r="AD23" s="1"/>
    </row>
    <row r="24" spans="2:30" x14ac:dyDescent="0.2">
      <c r="B24" s="11">
        <f t="shared" si="8"/>
        <v>14</v>
      </c>
      <c r="C24" s="7">
        <f>IF(C23="","",IF(F23+Annual_FC&lt;(LLP_Limiter+Annual_FC),C23+1,""))</f>
        <v>14</v>
      </c>
      <c r="D24" s="8">
        <f t="shared" si="18"/>
        <v>5014434.7436893824</v>
      </c>
      <c r="E24" s="22">
        <f t="shared" si="19"/>
        <v>250.72173718446913</v>
      </c>
      <c r="F24" s="2">
        <f t="shared" si="20"/>
        <v>14000</v>
      </c>
      <c r="G24" s="2">
        <f t="shared" si="21"/>
        <v>250721.73718446912</v>
      </c>
      <c r="H24" s="9">
        <f t="shared" si="22"/>
        <v>2536571.5041748183</v>
      </c>
      <c r="I24" s="9">
        <f>IF(C24="","",E24*F24)</f>
        <v>3510104.3205825677</v>
      </c>
      <c r="J24" s="10">
        <f t="shared" si="24"/>
        <v>-973532.81640774943</v>
      </c>
      <c r="K24" s="40">
        <f t="shared" si="12"/>
        <v>0.19414607351963864</v>
      </c>
      <c r="L24" s="11">
        <f t="shared" si="13"/>
        <v>803612.39736803807</v>
      </c>
      <c r="M24" s="27" t="s">
        <v>14</v>
      </c>
      <c r="N24" s="15"/>
      <c r="O24" s="28">
        <f>Stack_Cost</f>
        <v>2500000</v>
      </c>
      <c r="P24" s="23" t="str">
        <f>"                      LLP Rate ($/FC) - Year "&amp;Term&amp;" :"</f>
        <v xml:space="preserve">                      LLP Rate ($/FC) - Year 20 :</v>
      </c>
      <c r="R24" s="15"/>
      <c r="S24" s="46">
        <f>VLOOKUP(Term,$C$11:$J$50,3,FALSE)</f>
        <v>345.70586381565039</v>
      </c>
      <c r="T24" s="23" t="str">
        <f>"LLP Target $ - Year "&amp;Term&amp;" :"</f>
        <v>LLP Target $ - Year 20 :</v>
      </c>
      <c r="U24" s="15"/>
      <c r="V24" s="42">
        <f>VLOOKUP(Term,$C$11:$J$50,2,FALSE)</f>
        <v>6914117.2763130078</v>
      </c>
      <c r="W24" s="1"/>
      <c r="X24" s="1"/>
      <c r="Y24" s="38"/>
      <c r="Z24" s="38"/>
      <c r="AA24" s="39"/>
      <c r="AB24" s="1"/>
      <c r="AC24" s="1"/>
      <c r="AD24" s="1"/>
    </row>
    <row r="25" spans="2:30" x14ac:dyDescent="0.2">
      <c r="B25" s="11">
        <f t="shared" si="8"/>
        <v>15</v>
      </c>
      <c r="C25" s="7">
        <f t="shared" si="9"/>
        <v>15</v>
      </c>
      <c r="D25" s="8">
        <f t="shared" si="18"/>
        <v>5290228.654592298</v>
      </c>
      <c r="E25" s="22">
        <f t="shared" si="19"/>
        <v>264.51143272961491</v>
      </c>
      <c r="F25" s="2">
        <f t="shared" si="20"/>
        <v>15000</v>
      </c>
      <c r="G25" s="2">
        <f t="shared" si="21"/>
        <v>264511.4327296149</v>
      </c>
      <c r="H25" s="9">
        <f t="shared" si="22"/>
        <v>2801082.9369044332</v>
      </c>
      <c r="I25" s="9">
        <f t="shared" si="23"/>
        <v>3967671.4909442235</v>
      </c>
      <c r="J25" s="10">
        <f t="shared" si="24"/>
        <v>-1166588.5540397903</v>
      </c>
      <c r="K25" s="40">
        <f t="shared" ref="K25:K50" si="25">IF(C25="","",(I25/D25)-(H25/D25))</f>
        <v>0.22051760523188502</v>
      </c>
      <c r="L25" s="11">
        <f t="shared" ref="L25:L50" si="26">IF(C24="","",-J24)</f>
        <v>973532.81640774943</v>
      </c>
      <c r="M25" s="27" t="s">
        <v>15</v>
      </c>
      <c r="N25" s="15"/>
      <c r="O25" s="24">
        <f>LLP_Limiter</f>
        <v>20000</v>
      </c>
      <c r="P25" s="23" t="s">
        <v>26</v>
      </c>
      <c r="R25" s="15"/>
      <c r="S25" s="41">
        <f>Annual_FC</f>
        <v>1000</v>
      </c>
      <c r="T25" s="23" t="str">
        <f>"LLP Actual $ - Year "&amp;MAX(C12:C41)&amp;" :"</f>
        <v>LLP Actual $ - Year 20 :</v>
      </c>
      <c r="U25" s="15"/>
      <c r="V25" s="42">
        <f>VLOOKUP(Term,$C$11:$J$50,6,FALSE)</f>
        <v>4358539.7513729334</v>
      </c>
      <c r="W25" s="1"/>
      <c r="X25" s="1"/>
      <c r="Y25" s="38"/>
      <c r="Z25" s="1"/>
      <c r="AA25" s="1"/>
      <c r="AB25" s="1"/>
      <c r="AC25" s="1"/>
      <c r="AD25" s="1"/>
    </row>
    <row r="26" spans="2:30" x14ac:dyDescent="0.2">
      <c r="B26" s="11">
        <f t="shared" si="8"/>
        <v>16</v>
      </c>
      <c r="C26" s="7">
        <f t="shared" ref="C26:C50" si="27">IF(C25="","",IF(F25+Annual_FC&lt;(LLP_Limiter+Annual_FC),C25+1,""))</f>
        <v>16</v>
      </c>
      <c r="D26" s="8">
        <f t="shared" ref="D26:D50" si="28">IF(C26="","",FV(Escalation,C25,0,-Stack_Cost,0))</f>
        <v>5581191.2305948744</v>
      </c>
      <c r="E26" s="22">
        <f t="shared" ref="E26:E50" si="29">IF(C26="","",D26/LLP_Limiter)</f>
        <v>279.05956152974375</v>
      </c>
      <c r="F26" s="2">
        <f t="shared" ref="F26:F50" si="30">IF(C26="","",IF(F25+Annual_FC&gt;LLP_Limiter,LLP_Limiter,F25+Annual_FC))</f>
        <v>16000</v>
      </c>
      <c r="G26" s="2">
        <f t="shared" ref="G26:G50" si="31">IF(C26="","",E26*(F26-F25))</f>
        <v>279059.56152974372</v>
      </c>
      <c r="H26" s="9">
        <f t="shared" ref="H26:H50" si="32">IF(C26="","",H25+G26)</f>
        <v>3080142.4984341767</v>
      </c>
      <c r="I26" s="9">
        <f t="shared" ref="I26:I50" si="33">IF(C26="","",E26*F26)</f>
        <v>4464952.9844758995</v>
      </c>
      <c r="J26" s="10">
        <f t="shared" ref="J26:J50" si="34">IF(C26="","",H26-I26)</f>
        <v>-1384810.4860417228</v>
      </c>
      <c r="K26" s="40">
        <f t="shared" si="25"/>
        <v>0.24812095282643132</v>
      </c>
      <c r="L26" s="11">
        <f t="shared" si="26"/>
        <v>1166588.5540397903</v>
      </c>
      <c r="M26" s="27" t="s">
        <v>16</v>
      </c>
      <c r="N26" s="15"/>
      <c r="O26" s="30">
        <f>Stack_Cost/LLP_Limiter</f>
        <v>125</v>
      </c>
      <c r="P26" s="23" t="s">
        <v>27</v>
      </c>
      <c r="R26" s="15"/>
      <c r="S26" s="46">
        <f>S25/12</f>
        <v>83.333333333333329</v>
      </c>
      <c r="T26" s="23" t="str">
        <f>"LLP Shortfall $ - Year "&amp;Term</f>
        <v>LLP Shortfall $ - Year 20</v>
      </c>
      <c r="U26" s="15"/>
      <c r="V26" s="43">
        <f>V25-V24</f>
        <v>-2555577.5249400744</v>
      </c>
      <c r="W26" s="1"/>
      <c r="X26" s="1"/>
      <c r="Y26" s="38"/>
      <c r="Z26" s="1"/>
      <c r="AA26" s="1"/>
      <c r="AB26" s="1"/>
      <c r="AC26" s="1"/>
      <c r="AD26" s="1"/>
    </row>
    <row r="27" spans="2:30" x14ac:dyDescent="0.2">
      <c r="B27" s="11">
        <f t="shared" si="8"/>
        <v>17</v>
      </c>
      <c r="C27" s="7">
        <f t="shared" si="27"/>
        <v>17</v>
      </c>
      <c r="D27" s="8">
        <f t="shared" si="28"/>
        <v>5888156.7482775925</v>
      </c>
      <c r="E27" s="22">
        <f t="shared" si="29"/>
        <v>294.40783741387963</v>
      </c>
      <c r="F27" s="2">
        <f t="shared" si="30"/>
        <v>17000</v>
      </c>
      <c r="G27" s="2">
        <f t="shared" si="31"/>
        <v>294407.83741387964</v>
      </c>
      <c r="H27" s="9">
        <f t="shared" si="32"/>
        <v>3374550.3358480562</v>
      </c>
      <c r="I27" s="9">
        <f t="shared" si="33"/>
        <v>5004933.2360359542</v>
      </c>
      <c r="J27" s="10">
        <f t="shared" si="34"/>
        <v>-1630382.900187898</v>
      </c>
      <c r="K27" s="40">
        <f t="shared" si="25"/>
        <v>0.27689189841367901</v>
      </c>
      <c r="L27" s="11">
        <f t="shared" si="26"/>
        <v>1384810.4860417228</v>
      </c>
      <c r="M27" s="19"/>
      <c r="N27" s="20"/>
      <c r="O27" s="20"/>
      <c r="P27" s="20"/>
      <c r="Q27" s="20"/>
      <c r="R27" s="20"/>
      <c r="S27" s="20"/>
      <c r="T27" s="44"/>
      <c r="U27" s="45"/>
      <c r="V27" s="21"/>
      <c r="W27" s="1"/>
      <c r="X27" s="1"/>
      <c r="Y27" s="38"/>
      <c r="Z27" s="1"/>
      <c r="AA27" s="1"/>
      <c r="AB27" s="1"/>
      <c r="AC27" s="1"/>
      <c r="AD27" s="1"/>
    </row>
    <row r="28" spans="2:30" x14ac:dyDescent="0.2">
      <c r="B28" s="11">
        <f t="shared" si="8"/>
        <v>18</v>
      </c>
      <c r="C28" s="7">
        <f t="shared" si="27"/>
        <v>18</v>
      </c>
      <c r="D28" s="8">
        <f t="shared" si="28"/>
        <v>6212005.3694328591</v>
      </c>
      <c r="E28" s="22">
        <f t="shared" si="29"/>
        <v>310.60026847164295</v>
      </c>
      <c r="F28" s="2">
        <f t="shared" si="30"/>
        <v>18000</v>
      </c>
      <c r="G28" s="2">
        <f t="shared" si="31"/>
        <v>310600.26847164292</v>
      </c>
      <c r="H28" s="9">
        <f t="shared" si="32"/>
        <v>3685150.6043196991</v>
      </c>
      <c r="I28" s="9">
        <f t="shared" si="33"/>
        <v>5590804.8324895734</v>
      </c>
      <c r="J28" s="10">
        <f t="shared" si="34"/>
        <v>-1905654.2281698743</v>
      </c>
      <c r="K28" s="40">
        <f>IF(C28="","",(I28/D28)-(H28/D28))</f>
        <v>0.30676957195609378</v>
      </c>
      <c r="L28" s="11">
        <f t="shared" si="26"/>
        <v>1630382.900187898</v>
      </c>
      <c r="U28" s="1"/>
      <c r="V28" s="1"/>
      <c r="W28" s="1"/>
      <c r="X28" s="1"/>
      <c r="Y28" s="38"/>
      <c r="Z28" s="1"/>
      <c r="AA28" s="1"/>
      <c r="AB28" s="1"/>
      <c r="AC28" s="1"/>
      <c r="AD28" s="1"/>
    </row>
    <row r="29" spans="2:30" x14ac:dyDescent="0.2">
      <c r="B29" s="11">
        <f t="shared" si="8"/>
        <v>19</v>
      </c>
      <c r="C29" s="7">
        <f t="shared" si="27"/>
        <v>19</v>
      </c>
      <c r="D29" s="8">
        <f t="shared" si="28"/>
        <v>6553665.6647516666</v>
      </c>
      <c r="E29" s="22">
        <f t="shared" si="29"/>
        <v>327.68328323758334</v>
      </c>
      <c r="F29" s="2">
        <f t="shared" si="30"/>
        <v>19000</v>
      </c>
      <c r="G29" s="2">
        <f t="shared" si="31"/>
        <v>327683.28323758335</v>
      </c>
      <c r="H29" s="9">
        <f t="shared" si="32"/>
        <v>4012833.8875572826</v>
      </c>
      <c r="I29" s="9">
        <f t="shared" si="33"/>
        <v>6225982.3815140836</v>
      </c>
      <c r="J29" s="10">
        <f t="shared" si="34"/>
        <v>-2213148.493956801</v>
      </c>
      <c r="K29" s="40">
        <f t="shared" si="25"/>
        <v>0.33769627673563396</v>
      </c>
      <c r="L29" s="11">
        <f t="shared" si="26"/>
        <v>1905654.2281698743</v>
      </c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x14ac:dyDescent="0.2">
      <c r="B30" s="11">
        <f t="shared" si="8"/>
        <v>20</v>
      </c>
      <c r="C30" s="7">
        <f t="shared" si="27"/>
        <v>20</v>
      </c>
      <c r="D30" s="8">
        <f t="shared" si="28"/>
        <v>6914117.2763130078</v>
      </c>
      <c r="E30" s="22">
        <f t="shared" si="29"/>
        <v>345.70586381565039</v>
      </c>
      <c r="F30" s="2">
        <f t="shared" si="30"/>
        <v>20000</v>
      </c>
      <c r="G30" s="2">
        <f t="shared" si="31"/>
        <v>345705.8638156504</v>
      </c>
      <c r="H30" s="9">
        <f t="shared" si="32"/>
        <v>4358539.7513729334</v>
      </c>
      <c r="I30" s="9">
        <f t="shared" si="33"/>
        <v>6914117.2763130078</v>
      </c>
      <c r="J30" s="10">
        <f t="shared" si="34"/>
        <v>-2555577.5249400744</v>
      </c>
      <c r="K30" s="40">
        <f t="shared" si="25"/>
        <v>0.36961732392003199</v>
      </c>
      <c r="L30" s="11">
        <f t="shared" si="26"/>
        <v>2213148.493956801</v>
      </c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x14ac:dyDescent="0.2">
      <c r="B31" s="11" t="str">
        <f t="shared" si="8"/>
        <v/>
      </c>
      <c r="C31" s="7" t="str">
        <f t="shared" si="27"/>
        <v/>
      </c>
      <c r="D31" s="8" t="str">
        <f t="shared" si="28"/>
        <v/>
      </c>
      <c r="E31" s="22" t="str">
        <f t="shared" si="29"/>
        <v/>
      </c>
      <c r="F31" s="2" t="str">
        <f t="shared" si="30"/>
        <v/>
      </c>
      <c r="G31" s="2" t="str">
        <f t="shared" si="31"/>
        <v/>
      </c>
      <c r="H31" s="9" t="str">
        <f t="shared" si="32"/>
        <v/>
      </c>
      <c r="I31" s="9" t="str">
        <f t="shared" si="33"/>
        <v/>
      </c>
      <c r="J31" s="10" t="str">
        <f t="shared" si="34"/>
        <v/>
      </c>
      <c r="K31" s="40" t="str">
        <f t="shared" si="25"/>
        <v/>
      </c>
      <c r="L31" s="11">
        <f t="shared" si="26"/>
        <v>2555577.5249400744</v>
      </c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x14ac:dyDescent="0.2">
      <c r="B32" s="11" t="str">
        <f t="shared" si="8"/>
        <v/>
      </c>
      <c r="C32" s="7" t="str">
        <f t="shared" si="27"/>
        <v/>
      </c>
      <c r="D32" s="8" t="str">
        <f t="shared" si="28"/>
        <v/>
      </c>
      <c r="E32" s="22" t="str">
        <f t="shared" si="29"/>
        <v/>
      </c>
      <c r="F32" s="2" t="str">
        <f t="shared" si="30"/>
        <v/>
      </c>
      <c r="G32" s="2" t="str">
        <f t="shared" si="31"/>
        <v/>
      </c>
      <c r="H32" s="9" t="str">
        <f t="shared" si="32"/>
        <v/>
      </c>
      <c r="I32" s="9" t="str">
        <f t="shared" si="33"/>
        <v/>
      </c>
      <c r="J32" s="10" t="str">
        <f t="shared" si="34"/>
        <v/>
      </c>
      <c r="K32" s="40" t="str">
        <f t="shared" si="25"/>
        <v/>
      </c>
      <c r="L32" s="11" t="str">
        <f t="shared" si="26"/>
        <v/>
      </c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3" x14ac:dyDescent="0.2">
      <c r="B33" s="11" t="str">
        <f t="shared" si="8"/>
        <v/>
      </c>
      <c r="C33" s="7" t="str">
        <f t="shared" si="27"/>
        <v/>
      </c>
      <c r="D33" s="8" t="str">
        <f t="shared" si="28"/>
        <v/>
      </c>
      <c r="E33" s="22" t="str">
        <f t="shared" si="29"/>
        <v/>
      </c>
      <c r="F33" s="2" t="str">
        <f t="shared" si="30"/>
        <v/>
      </c>
      <c r="G33" s="2" t="str">
        <f t="shared" si="31"/>
        <v/>
      </c>
      <c r="H33" s="9" t="str">
        <f t="shared" si="32"/>
        <v/>
      </c>
      <c r="I33" s="9" t="str">
        <f t="shared" si="33"/>
        <v/>
      </c>
      <c r="J33" s="10" t="str">
        <f t="shared" si="34"/>
        <v/>
      </c>
      <c r="K33" s="40" t="str">
        <f t="shared" si="25"/>
        <v/>
      </c>
      <c r="L33" s="11" t="str">
        <f t="shared" si="26"/>
        <v/>
      </c>
    </row>
    <row r="34" spans="2:33" x14ac:dyDescent="0.2">
      <c r="B34" s="11" t="str">
        <f t="shared" si="8"/>
        <v/>
      </c>
      <c r="C34" s="7" t="str">
        <f t="shared" si="27"/>
        <v/>
      </c>
      <c r="D34" s="8" t="str">
        <f t="shared" si="28"/>
        <v/>
      </c>
      <c r="E34" s="22" t="str">
        <f t="shared" si="29"/>
        <v/>
      </c>
      <c r="F34" s="2" t="str">
        <f t="shared" si="30"/>
        <v/>
      </c>
      <c r="G34" s="2" t="str">
        <f t="shared" si="31"/>
        <v/>
      </c>
      <c r="H34" s="9" t="str">
        <f t="shared" si="32"/>
        <v/>
      </c>
      <c r="I34" s="9" t="str">
        <f t="shared" si="33"/>
        <v/>
      </c>
      <c r="J34" s="10" t="str">
        <f t="shared" si="34"/>
        <v/>
      </c>
      <c r="K34" s="40" t="str">
        <f t="shared" si="25"/>
        <v/>
      </c>
      <c r="L34" s="11" t="str">
        <f t="shared" si="26"/>
        <v/>
      </c>
      <c r="O34" s="2"/>
      <c r="U34" s="1"/>
      <c r="V34" s="1"/>
    </row>
    <row r="35" spans="2:33" x14ac:dyDescent="0.2">
      <c r="B35" s="11" t="str">
        <f t="shared" si="8"/>
        <v/>
      </c>
      <c r="C35" s="7" t="str">
        <f t="shared" si="27"/>
        <v/>
      </c>
      <c r="D35" s="8" t="str">
        <f t="shared" si="28"/>
        <v/>
      </c>
      <c r="E35" s="22" t="str">
        <f t="shared" si="29"/>
        <v/>
      </c>
      <c r="F35" s="2" t="str">
        <f t="shared" si="30"/>
        <v/>
      </c>
      <c r="G35" s="2" t="str">
        <f t="shared" si="31"/>
        <v/>
      </c>
      <c r="H35" s="9" t="str">
        <f t="shared" si="32"/>
        <v/>
      </c>
      <c r="I35" s="9" t="str">
        <f t="shared" si="33"/>
        <v/>
      </c>
      <c r="J35" s="10" t="str">
        <f t="shared" si="34"/>
        <v/>
      </c>
      <c r="K35" s="40" t="str">
        <f t="shared" si="25"/>
        <v/>
      </c>
      <c r="L35" s="11" t="str">
        <f t="shared" si="26"/>
        <v/>
      </c>
      <c r="O35" s="2"/>
      <c r="U35" s="1"/>
      <c r="V35" s="1"/>
    </row>
    <row r="36" spans="2:33" x14ac:dyDescent="0.2">
      <c r="B36" s="11" t="str">
        <f t="shared" si="8"/>
        <v/>
      </c>
      <c r="C36" s="7" t="str">
        <f t="shared" si="27"/>
        <v/>
      </c>
      <c r="D36" s="8" t="str">
        <f t="shared" si="28"/>
        <v/>
      </c>
      <c r="E36" s="22" t="str">
        <f t="shared" si="29"/>
        <v/>
      </c>
      <c r="F36" s="2" t="str">
        <f t="shared" si="30"/>
        <v/>
      </c>
      <c r="G36" s="2" t="str">
        <f t="shared" si="31"/>
        <v/>
      </c>
      <c r="H36" s="9" t="str">
        <f t="shared" si="32"/>
        <v/>
      </c>
      <c r="I36" s="9" t="str">
        <f t="shared" si="33"/>
        <v/>
      </c>
      <c r="J36" s="10" t="str">
        <f t="shared" si="34"/>
        <v/>
      </c>
      <c r="K36" s="40" t="str">
        <f t="shared" si="25"/>
        <v/>
      </c>
      <c r="L36" s="11" t="str">
        <f t="shared" si="26"/>
        <v/>
      </c>
      <c r="O36" s="2"/>
      <c r="U36" s="1"/>
      <c r="V36" s="1"/>
    </row>
    <row r="37" spans="2:33" x14ac:dyDescent="0.2">
      <c r="B37" s="11" t="str">
        <f t="shared" si="8"/>
        <v/>
      </c>
      <c r="C37" s="7" t="str">
        <f t="shared" si="27"/>
        <v/>
      </c>
      <c r="D37" s="8" t="str">
        <f t="shared" si="28"/>
        <v/>
      </c>
      <c r="E37" s="22" t="str">
        <f t="shared" si="29"/>
        <v/>
      </c>
      <c r="F37" s="2" t="str">
        <f t="shared" si="30"/>
        <v/>
      </c>
      <c r="G37" s="2" t="str">
        <f t="shared" si="31"/>
        <v/>
      </c>
      <c r="H37" s="9" t="str">
        <f t="shared" si="32"/>
        <v/>
      </c>
      <c r="I37" s="9" t="str">
        <f t="shared" si="33"/>
        <v/>
      </c>
      <c r="J37" s="10" t="str">
        <f t="shared" si="34"/>
        <v/>
      </c>
      <c r="K37" s="40" t="str">
        <f t="shared" si="25"/>
        <v/>
      </c>
      <c r="L37" s="11" t="str">
        <f t="shared" si="26"/>
        <v/>
      </c>
      <c r="U37" s="1"/>
      <c r="V37" s="1"/>
    </row>
    <row r="38" spans="2:33" x14ac:dyDescent="0.2">
      <c r="B38" s="11" t="str">
        <f t="shared" si="8"/>
        <v/>
      </c>
      <c r="C38" s="7" t="str">
        <f t="shared" si="27"/>
        <v/>
      </c>
      <c r="D38" s="8" t="str">
        <f t="shared" si="28"/>
        <v/>
      </c>
      <c r="E38" s="22" t="str">
        <f t="shared" si="29"/>
        <v/>
      </c>
      <c r="F38" s="2" t="str">
        <f t="shared" si="30"/>
        <v/>
      </c>
      <c r="G38" s="2" t="str">
        <f t="shared" si="31"/>
        <v/>
      </c>
      <c r="H38" s="9" t="str">
        <f t="shared" si="32"/>
        <v/>
      </c>
      <c r="I38" s="9" t="str">
        <f t="shared" si="33"/>
        <v/>
      </c>
      <c r="J38" s="10" t="str">
        <f t="shared" si="34"/>
        <v/>
      </c>
      <c r="K38" s="40" t="str">
        <f t="shared" si="25"/>
        <v/>
      </c>
      <c r="L38" s="11" t="str">
        <f t="shared" si="26"/>
        <v/>
      </c>
      <c r="U38" s="1"/>
      <c r="V38" s="1"/>
    </row>
    <row r="39" spans="2:33" x14ac:dyDescent="0.2">
      <c r="B39" s="11" t="str">
        <f t="shared" si="8"/>
        <v/>
      </c>
      <c r="C39" s="7" t="str">
        <f t="shared" si="27"/>
        <v/>
      </c>
      <c r="D39" s="8" t="str">
        <f t="shared" si="28"/>
        <v/>
      </c>
      <c r="E39" s="22" t="str">
        <f t="shared" si="29"/>
        <v/>
      </c>
      <c r="F39" s="2" t="str">
        <f t="shared" si="30"/>
        <v/>
      </c>
      <c r="G39" s="2" t="str">
        <f t="shared" si="31"/>
        <v/>
      </c>
      <c r="H39" s="9" t="str">
        <f t="shared" si="32"/>
        <v/>
      </c>
      <c r="I39" s="9" t="str">
        <f t="shared" si="33"/>
        <v/>
      </c>
      <c r="J39" s="10" t="str">
        <f t="shared" si="34"/>
        <v/>
      </c>
      <c r="K39" s="40" t="str">
        <f t="shared" si="25"/>
        <v/>
      </c>
      <c r="L39" s="11" t="str">
        <f t="shared" si="26"/>
        <v/>
      </c>
      <c r="U39" s="1"/>
      <c r="V39" s="1"/>
      <c r="Z39" s="2"/>
    </row>
    <row r="40" spans="2:33" x14ac:dyDescent="0.2">
      <c r="B40" s="11" t="str">
        <f t="shared" si="8"/>
        <v/>
      </c>
      <c r="C40" s="7" t="str">
        <f t="shared" si="27"/>
        <v/>
      </c>
      <c r="D40" s="8" t="str">
        <f t="shared" si="28"/>
        <v/>
      </c>
      <c r="E40" s="22" t="str">
        <f t="shared" si="29"/>
        <v/>
      </c>
      <c r="F40" s="2" t="str">
        <f t="shared" si="30"/>
        <v/>
      </c>
      <c r="G40" s="2" t="str">
        <f t="shared" si="31"/>
        <v/>
      </c>
      <c r="H40" s="9" t="str">
        <f t="shared" si="32"/>
        <v/>
      </c>
      <c r="I40" s="9" t="str">
        <f t="shared" si="33"/>
        <v/>
      </c>
      <c r="J40" s="10" t="str">
        <f t="shared" si="34"/>
        <v/>
      </c>
      <c r="K40" s="40" t="str">
        <f t="shared" si="25"/>
        <v/>
      </c>
      <c r="L40" s="11" t="str">
        <f t="shared" si="26"/>
        <v/>
      </c>
      <c r="U40" s="1"/>
      <c r="V40" s="1"/>
      <c r="Z40" s="2"/>
    </row>
    <row r="41" spans="2:33" x14ac:dyDescent="0.2">
      <c r="C41" s="7" t="str">
        <f t="shared" si="27"/>
        <v/>
      </c>
      <c r="D41" s="8" t="str">
        <f t="shared" si="28"/>
        <v/>
      </c>
      <c r="E41" s="22" t="str">
        <f t="shared" si="29"/>
        <v/>
      </c>
      <c r="F41" s="2" t="str">
        <f t="shared" si="30"/>
        <v/>
      </c>
      <c r="G41" s="2" t="str">
        <f t="shared" si="31"/>
        <v/>
      </c>
      <c r="H41" s="9" t="str">
        <f t="shared" si="32"/>
        <v/>
      </c>
      <c r="I41" s="9" t="str">
        <f t="shared" si="33"/>
        <v/>
      </c>
      <c r="J41" s="10" t="str">
        <f t="shared" si="34"/>
        <v/>
      </c>
      <c r="K41" s="40" t="str">
        <f t="shared" si="25"/>
        <v/>
      </c>
      <c r="L41" s="11" t="str">
        <f t="shared" si="26"/>
        <v/>
      </c>
      <c r="U41" s="1"/>
      <c r="V41" s="1"/>
      <c r="Z41" s="2"/>
    </row>
    <row r="42" spans="2:33" x14ac:dyDescent="0.2">
      <c r="C42" s="7" t="str">
        <f t="shared" si="27"/>
        <v/>
      </c>
      <c r="D42" s="8" t="str">
        <f t="shared" si="28"/>
        <v/>
      </c>
      <c r="E42" s="22" t="str">
        <f t="shared" si="29"/>
        <v/>
      </c>
      <c r="F42" s="2" t="str">
        <f t="shared" si="30"/>
        <v/>
      </c>
      <c r="G42" s="2" t="str">
        <f t="shared" si="31"/>
        <v/>
      </c>
      <c r="H42" s="9" t="str">
        <f t="shared" si="32"/>
        <v/>
      </c>
      <c r="I42" s="9" t="str">
        <f t="shared" si="33"/>
        <v/>
      </c>
      <c r="J42" s="10" t="str">
        <f t="shared" si="34"/>
        <v/>
      </c>
      <c r="K42" s="40" t="str">
        <f t="shared" si="25"/>
        <v/>
      </c>
      <c r="L42" s="11" t="str">
        <f t="shared" si="26"/>
        <v/>
      </c>
      <c r="N42" s="1"/>
      <c r="O42" s="1"/>
      <c r="P42" s="1"/>
      <c r="Q42" s="1"/>
      <c r="R42" s="1"/>
      <c r="S42" s="1"/>
      <c r="T42" s="1"/>
      <c r="U42" s="1"/>
      <c r="V42" s="1"/>
      <c r="Z42" s="2"/>
    </row>
    <row r="43" spans="2:33" x14ac:dyDescent="0.2">
      <c r="C43" s="7" t="str">
        <f t="shared" si="27"/>
        <v/>
      </c>
      <c r="D43" s="8" t="str">
        <f t="shared" si="28"/>
        <v/>
      </c>
      <c r="E43" s="22" t="str">
        <f t="shared" si="29"/>
        <v/>
      </c>
      <c r="F43" s="2" t="str">
        <f t="shared" si="30"/>
        <v/>
      </c>
      <c r="G43" s="2" t="str">
        <f t="shared" si="31"/>
        <v/>
      </c>
      <c r="H43" s="9" t="str">
        <f t="shared" si="32"/>
        <v/>
      </c>
      <c r="I43" s="9" t="str">
        <f t="shared" si="33"/>
        <v/>
      </c>
      <c r="J43" s="10" t="str">
        <f t="shared" si="34"/>
        <v/>
      </c>
      <c r="K43" s="40" t="str">
        <f t="shared" si="25"/>
        <v/>
      </c>
      <c r="L43" s="11" t="str">
        <f t="shared" si="26"/>
        <v/>
      </c>
      <c r="N43" s="1"/>
      <c r="O43" s="1"/>
      <c r="P43" s="1"/>
      <c r="Q43" s="1"/>
      <c r="R43" s="1"/>
      <c r="S43" s="1"/>
      <c r="T43" s="1"/>
      <c r="U43" s="1"/>
      <c r="V43" s="1"/>
      <c r="Z43" s="2"/>
    </row>
    <row r="44" spans="2:33" x14ac:dyDescent="0.2">
      <c r="C44" s="7" t="str">
        <f t="shared" si="27"/>
        <v/>
      </c>
      <c r="D44" s="8" t="str">
        <f t="shared" si="28"/>
        <v/>
      </c>
      <c r="E44" s="22" t="str">
        <f t="shared" si="29"/>
        <v/>
      </c>
      <c r="F44" s="2" t="str">
        <f t="shared" si="30"/>
        <v/>
      </c>
      <c r="G44" s="2" t="str">
        <f t="shared" si="31"/>
        <v/>
      </c>
      <c r="H44" s="9" t="str">
        <f t="shared" si="32"/>
        <v/>
      </c>
      <c r="I44" s="9" t="str">
        <f t="shared" si="33"/>
        <v/>
      </c>
      <c r="J44" s="10" t="str">
        <f t="shared" si="34"/>
        <v/>
      </c>
      <c r="K44" s="40" t="str">
        <f t="shared" si="25"/>
        <v/>
      </c>
      <c r="L44" s="11" t="str">
        <f t="shared" si="26"/>
        <v/>
      </c>
      <c r="N44" s="1"/>
      <c r="S44" s="1"/>
      <c r="T44" s="1"/>
      <c r="U44" s="1"/>
      <c r="V44" s="1"/>
      <c r="Z44" s="2"/>
    </row>
    <row r="45" spans="2:33" x14ac:dyDescent="0.2">
      <c r="C45" s="7" t="str">
        <f t="shared" si="27"/>
        <v/>
      </c>
      <c r="D45" s="8" t="str">
        <f t="shared" si="28"/>
        <v/>
      </c>
      <c r="E45" s="22" t="str">
        <f t="shared" si="29"/>
        <v/>
      </c>
      <c r="F45" s="2" t="str">
        <f t="shared" si="30"/>
        <v/>
      </c>
      <c r="G45" s="2" t="str">
        <f t="shared" si="31"/>
        <v/>
      </c>
      <c r="H45" s="9" t="str">
        <f t="shared" si="32"/>
        <v/>
      </c>
      <c r="I45" s="9" t="str">
        <f t="shared" si="33"/>
        <v/>
      </c>
      <c r="J45" s="10" t="str">
        <f t="shared" si="34"/>
        <v/>
      </c>
      <c r="K45" s="40" t="str">
        <f t="shared" si="25"/>
        <v/>
      </c>
      <c r="L45" s="11" t="str">
        <f t="shared" si="26"/>
        <v/>
      </c>
      <c r="S45" s="1"/>
      <c r="T45" s="1"/>
      <c r="U45" s="1"/>
      <c r="V45" s="1"/>
      <c r="Z45" s="2"/>
    </row>
    <row r="46" spans="2:33" x14ac:dyDescent="0.2">
      <c r="C46" s="7" t="str">
        <f t="shared" si="27"/>
        <v/>
      </c>
      <c r="D46" s="8" t="str">
        <f t="shared" si="28"/>
        <v/>
      </c>
      <c r="E46" s="22" t="str">
        <f t="shared" si="29"/>
        <v/>
      </c>
      <c r="F46" s="2" t="str">
        <f t="shared" si="30"/>
        <v/>
      </c>
      <c r="G46" s="2" t="str">
        <f t="shared" si="31"/>
        <v/>
      </c>
      <c r="H46" s="9" t="str">
        <f t="shared" si="32"/>
        <v/>
      </c>
      <c r="I46" s="9" t="str">
        <f t="shared" si="33"/>
        <v/>
      </c>
      <c r="J46" s="10" t="str">
        <f t="shared" si="34"/>
        <v/>
      </c>
      <c r="K46" s="40" t="str">
        <f t="shared" si="25"/>
        <v/>
      </c>
      <c r="L46" s="11" t="str">
        <f t="shared" si="26"/>
        <v/>
      </c>
      <c r="U46" s="1"/>
      <c r="V46" s="1"/>
      <c r="Z46" s="2"/>
    </row>
    <row r="47" spans="2:33" x14ac:dyDescent="0.2">
      <c r="C47" s="7" t="str">
        <f t="shared" si="27"/>
        <v/>
      </c>
      <c r="D47" s="8" t="str">
        <f t="shared" si="28"/>
        <v/>
      </c>
      <c r="E47" s="22" t="str">
        <f t="shared" si="29"/>
        <v/>
      </c>
      <c r="F47" s="2" t="str">
        <f t="shared" si="30"/>
        <v/>
      </c>
      <c r="G47" s="2" t="str">
        <f t="shared" si="31"/>
        <v/>
      </c>
      <c r="H47" s="9" t="str">
        <f t="shared" si="32"/>
        <v/>
      </c>
      <c r="I47" s="9" t="str">
        <f t="shared" si="33"/>
        <v/>
      </c>
      <c r="J47" s="10" t="str">
        <f t="shared" si="34"/>
        <v/>
      </c>
      <c r="K47" s="40" t="str">
        <f t="shared" si="25"/>
        <v/>
      </c>
      <c r="L47" s="11" t="str">
        <f t="shared" si="26"/>
        <v/>
      </c>
      <c r="U47" s="1"/>
      <c r="V47" s="1"/>
      <c r="Z47" s="2"/>
      <c r="AG47" s="3"/>
    </row>
    <row r="48" spans="2:33" x14ac:dyDescent="0.2">
      <c r="C48" s="7" t="str">
        <f t="shared" si="27"/>
        <v/>
      </c>
      <c r="D48" s="8" t="str">
        <f t="shared" si="28"/>
        <v/>
      </c>
      <c r="E48" s="22" t="str">
        <f t="shared" si="29"/>
        <v/>
      </c>
      <c r="F48" s="2" t="str">
        <f t="shared" si="30"/>
        <v/>
      </c>
      <c r="G48" s="2" t="str">
        <f t="shared" si="31"/>
        <v/>
      </c>
      <c r="H48" s="9" t="str">
        <f t="shared" si="32"/>
        <v/>
      </c>
      <c r="I48" s="9" t="str">
        <f t="shared" si="33"/>
        <v/>
      </c>
      <c r="J48" s="10" t="str">
        <f t="shared" si="34"/>
        <v/>
      </c>
      <c r="K48" s="40" t="str">
        <f t="shared" si="25"/>
        <v/>
      </c>
      <c r="L48" s="11" t="str">
        <f t="shared" si="26"/>
        <v/>
      </c>
      <c r="U48" s="1"/>
      <c r="V48" s="1"/>
      <c r="W48" s="1"/>
      <c r="X48" s="1"/>
      <c r="Y48" s="1"/>
      <c r="Z48" s="2"/>
    </row>
    <row r="49" spans="2:33" x14ac:dyDescent="0.2">
      <c r="B49" s="1"/>
      <c r="C49" s="7" t="str">
        <f t="shared" si="27"/>
        <v/>
      </c>
      <c r="D49" s="8" t="str">
        <f t="shared" si="28"/>
        <v/>
      </c>
      <c r="E49" s="22" t="str">
        <f t="shared" si="29"/>
        <v/>
      </c>
      <c r="F49" s="2" t="str">
        <f t="shared" si="30"/>
        <v/>
      </c>
      <c r="G49" s="2" t="str">
        <f t="shared" si="31"/>
        <v/>
      </c>
      <c r="H49" s="9" t="str">
        <f t="shared" si="32"/>
        <v/>
      </c>
      <c r="I49" s="9" t="str">
        <f t="shared" si="33"/>
        <v/>
      </c>
      <c r="J49" s="10" t="str">
        <f t="shared" si="34"/>
        <v/>
      </c>
      <c r="K49" s="40" t="str">
        <f t="shared" si="25"/>
        <v/>
      </c>
      <c r="L49" s="11" t="str">
        <f t="shared" si="26"/>
        <v/>
      </c>
      <c r="U49" s="1"/>
      <c r="V49" s="1"/>
      <c r="W49" s="1"/>
      <c r="X49" s="1"/>
      <c r="Y49" s="1"/>
      <c r="Z49" s="2"/>
    </row>
    <row r="50" spans="2:33" x14ac:dyDescent="0.2">
      <c r="B50" s="1"/>
      <c r="C50" s="7" t="str">
        <f t="shared" si="27"/>
        <v/>
      </c>
      <c r="D50" s="8" t="str">
        <f t="shared" si="28"/>
        <v/>
      </c>
      <c r="E50" s="22" t="str">
        <f t="shared" si="29"/>
        <v/>
      </c>
      <c r="F50" s="2" t="str">
        <f t="shared" si="30"/>
        <v/>
      </c>
      <c r="G50" s="2" t="str">
        <f t="shared" si="31"/>
        <v/>
      </c>
      <c r="H50" s="9" t="str">
        <f t="shared" si="32"/>
        <v/>
      </c>
      <c r="I50" s="9" t="str">
        <f t="shared" si="33"/>
        <v/>
      </c>
      <c r="J50" s="10" t="str">
        <f t="shared" si="34"/>
        <v/>
      </c>
      <c r="K50" s="40" t="str">
        <f t="shared" si="25"/>
        <v/>
      </c>
      <c r="L50" s="11" t="str">
        <f t="shared" si="26"/>
        <v/>
      </c>
      <c r="U50" s="1"/>
      <c r="V50" s="1"/>
      <c r="Z50" s="2"/>
    </row>
    <row r="51" spans="2:33" x14ac:dyDescent="0.2">
      <c r="B51" s="1"/>
      <c r="C51" s="1"/>
      <c r="D51" s="8"/>
      <c r="L51" s="11" t="str">
        <f>IF(C50="","",-J50)</f>
        <v/>
      </c>
      <c r="U51" s="1"/>
      <c r="V51" s="1"/>
      <c r="Z51" s="2"/>
    </row>
    <row r="52" spans="2:33" x14ac:dyDescent="0.2">
      <c r="B52" s="1"/>
      <c r="C52" s="1"/>
      <c r="D52" s="8"/>
      <c r="Z52" s="2"/>
    </row>
    <row r="53" spans="2:33" x14ac:dyDescent="0.2">
      <c r="B53" s="1"/>
      <c r="C53" s="1"/>
      <c r="D53" s="8"/>
      <c r="Z53" s="2"/>
      <c r="AG53" s="3"/>
    </row>
    <row r="54" spans="2:33" hidden="1" x14ac:dyDescent="0.2">
      <c r="B54" s="1"/>
      <c r="C54" s="1"/>
      <c r="D54" s="8"/>
      <c r="Z54" s="2"/>
    </row>
    <row r="55" spans="2:33" hidden="1" x14ac:dyDescent="0.2">
      <c r="B55" s="1"/>
      <c r="C55" s="1"/>
      <c r="D55" s="8"/>
    </row>
    <row r="56" spans="2:33" hidden="1" x14ac:dyDescent="0.2">
      <c r="B56" s="1"/>
      <c r="C56" s="1"/>
      <c r="D56" s="8"/>
    </row>
    <row r="57" spans="2:33" hidden="1" x14ac:dyDescent="0.2">
      <c r="B57" s="1"/>
      <c r="C57" s="1"/>
      <c r="D57" s="8"/>
    </row>
    <row r="58" spans="2:33" hidden="1" x14ac:dyDescent="0.2">
      <c r="B58" s="1"/>
      <c r="C58" s="1"/>
      <c r="D58" s="8"/>
    </row>
    <row r="59" spans="2:33" hidden="1" x14ac:dyDescent="0.2">
      <c r="B59" s="1"/>
      <c r="C59" s="1"/>
      <c r="D59" s="8"/>
    </row>
    <row r="60" spans="2:33" hidden="1" x14ac:dyDescent="0.2">
      <c r="B60" s="1"/>
      <c r="C60" s="1"/>
      <c r="D60" s="8"/>
    </row>
    <row r="61" spans="2:33" hidden="1" x14ac:dyDescent="0.2">
      <c r="B61" s="1"/>
      <c r="C61" s="1"/>
      <c r="D61" s="8"/>
    </row>
    <row r="62" spans="2:33" hidden="1" x14ac:dyDescent="0.2">
      <c r="B62" s="1"/>
      <c r="C62" s="1"/>
      <c r="D62" s="8"/>
    </row>
    <row r="63" spans="2:33" hidden="1" x14ac:dyDescent="0.2">
      <c r="B63" s="1"/>
      <c r="C63" s="1"/>
      <c r="D63" s="8"/>
    </row>
    <row r="64" spans="2:33" hidden="1" x14ac:dyDescent="0.2">
      <c r="B64" s="1"/>
      <c r="C64" s="1"/>
      <c r="D64" s="8"/>
    </row>
    <row r="65" spans="2:30" hidden="1" x14ac:dyDescent="0.2">
      <c r="B65" s="1"/>
      <c r="C65" s="1"/>
      <c r="D65" s="8"/>
      <c r="E65" s="1"/>
      <c r="F65" s="1"/>
      <c r="G65" s="1"/>
      <c r="H65" s="1"/>
      <c r="I65" s="1"/>
      <c r="J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idden="1" x14ac:dyDescent="0.2">
      <c r="B66" s="1"/>
      <c r="C66" s="1"/>
      <c r="D66" s="8"/>
      <c r="E66" s="1"/>
      <c r="F66" s="1"/>
      <c r="G66" s="1"/>
      <c r="H66" s="1"/>
      <c r="I66" s="1"/>
      <c r="J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idden="1" x14ac:dyDescent="0.2">
      <c r="B67" s="1"/>
      <c r="C67" s="1"/>
      <c r="D67" s="8"/>
      <c r="E67" s="1"/>
      <c r="F67" s="1"/>
      <c r="G67" s="1"/>
      <c r="H67" s="1"/>
      <c r="I67" s="1"/>
      <c r="J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idden="1" x14ac:dyDescent="0.2">
      <c r="B68" s="1"/>
      <c r="C68" s="1"/>
      <c r="D68" s="8"/>
      <c r="E68" s="1"/>
      <c r="F68" s="1"/>
      <c r="G68" s="1"/>
      <c r="H68" s="1"/>
      <c r="I68" s="1"/>
      <c r="J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idden="1" x14ac:dyDescent="0.2">
      <c r="B69" s="1"/>
      <c r="C69" s="1"/>
      <c r="D69" s="8"/>
      <c r="E69" s="1"/>
      <c r="F69" s="1"/>
      <c r="G69" s="1"/>
      <c r="H69" s="1"/>
      <c r="I69" s="1"/>
      <c r="J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idden="1" x14ac:dyDescent="0.2">
      <c r="B70" s="1"/>
      <c r="C70" s="1"/>
      <c r="D70" s="8"/>
      <c r="E70" s="1"/>
      <c r="F70" s="1"/>
      <c r="G70" s="1"/>
      <c r="H70" s="1"/>
      <c r="I70" s="1"/>
      <c r="J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idden="1" x14ac:dyDescent="0.2">
      <c r="B71" s="1"/>
      <c r="C71" s="1"/>
      <c r="D71" s="8"/>
      <c r="E71" s="1"/>
      <c r="F71" s="1"/>
      <c r="G71" s="1"/>
      <c r="H71" s="1"/>
      <c r="I71" s="1"/>
      <c r="J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idden="1" x14ac:dyDescent="0.2">
      <c r="B72" s="1"/>
      <c r="C72" s="1"/>
      <c r="D72" s="8"/>
      <c r="E72" s="1"/>
      <c r="F72" s="1"/>
      <c r="G72" s="1"/>
      <c r="H72" s="1"/>
      <c r="I72" s="1"/>
      <c r="J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idden="1" x14ac:dyDescent="0.2">
      <c r="B73" s="1"/>
      <c r="C73" s="1"/>
      <c r="D73" s="8"/>
      <c r="E73" s="1"/>
      <c r="F73" s="1"/>
      <c r="G73" s="1"/>
      <c r="H73" s="1"/>
      <c r="I73" s="1"/>
      <c r="J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idden="1" x14ac:dyDescent="0.2">
      <c r="B74" s="1"/>
      <c r="C74" s="1"/>
      <c r="D74" s="8"/>
      <c r="E74" s="1"/>
      <c r="F74" s="1"/>
      <c r="G74" s="1"/>
      <c r="H74" s="1"/>
      <c r="I74" s="1"/>
      <c r="J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idden="1" x14ac:dyDescent="0.2">
      <c r="B75" s="1"/>
      <c r="C75" s="1"/>
      <c r="D75" s="8"/>
      <c r="E75" s="1"/>
      <c r="F75" s="1"/>
      <c r="G75" s="1"/>
      <c r="H75" s="1"/>
      <c r="I75" s="1"/>
      <c r="J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idden="1" x14ac:dyDescent="0.2">
      <c r="B76" s="1"/>
      <c r="C76" s="1"/>
      <c r="D76" s="8"/>
      <c r="E76" s="1"/>
      <c r="F76" s="1"/>
      <c r="G76" s="1"/>
      <c r="H76" s="1"/>
      <c r="I76" s="1"/>
      <c r="J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idden="1" x14ac:dyDescent="0.2">
      <c r="B77" s="1"/>
      <c r="C77" s="1"/>
      <c r="D77" s="8"/>
      <c r="E77" s="1"/>
      <c r="F77" s="1"/>
      <c r="G77" s="1"/>
      <c r="H77" s="1"/>
      <c r="I77" s="1"/>
      <c r="J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idden="1" x14ac:dyDescent="0.2">
      <c r="B78" s="1"/>
      <c r="C78" s="1"/>
      <c r="D78" s="8"/>
      <c r="E78" s="1"/>
      <c r="F78" s="1"/>
      <c r="G78" s="1"/>
      <c r="H78" s="1"/>
      <c r="I78" s="1"/>
      <c r="J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idden="1" x14ac:dyDescent="0.2">
      <c r="B79" s="1"/>
      <c r="C79" s="1"/>
      <c r="D79" s="8"/>
      <c r="E79" s="1"/>
      <c r="F79" s="1"/>
      <c r="G79" s="1"/>
      <c r="H79" s="1"/>
      <c r="I79" s="1"/>
      <c r="J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idden="1" x14ac:dyDescent="0.2">
      <c r="B80" s="1"/>
      <c r="C80" s="1"/>
      <c r="D80" s="8"/>
      <c r="E80" s="1"/>
      <c r="F80" s="1"/>
      <c r="G80" s="1"/>
      <c r="H80" s="1"/>
      <c r="I80" s="1"/>
      <c r="J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3" hidden="1" x14ac:dyDescent="0.2">
      <c r="B81" s="1"/>
      <c r="C81" s="1"/>
      <c r="D81" s="8"/>
      <c r="L81" s="1"/>
      <c r="AF81" s="6"/>
      <c r="AG81" s="6"/>
    </row>
    <row r="82" spans="2:33" hidden="1" x14ac:dyDescent="0.2">
      <c r="B82" s="1"/>
      <c r="C82" s="1"/>
      <c r="D82" s="8"/>
    </row>
    <row r="83" spans="2:33" hidden="1" x14ac:dyDescent="0.2">
      <c r="B83" s="1"/>
      <c r="C83" s="1"/>
      <c r="D83" s="8"/>
    </row>
    <row r="84" spans="2:33" hidden="1" x14ac:dyDescent="0.2">
      <c r="B84" s="1"/>
      <c r="C84" s="1"/>
      <c r="D84" s="8"/>
    </row>
    <row r="85" spans="2:33" hidden="1" x14ac:dyDescent="0.2">
      <c r="B85" s="1"/>
      <c r="C85" s="1"/>
      <c r="D85" s="8"/>
    </row>
    <row r="86" spans="2:33" hidden="1" x14ac:dyDescent="0.2">
      <c r="B86" s="1"/>
      <c r="C86" s="1"/>
      <c r="D86" s="8"/>
    </row>
    <row r="87" spans="2:33" hidden="1" x14ac:dyDescent="0.2">
      <c r="B87" s="1"/>
      <c r="C87" s="1"/>
      <c r="D87" s="8"/>
    </row>
    <row r="88" spans="2:33" hidden="1" x14ac:dyDescent="0.2">
      <c r="B88" s="1"/>
      <c r="C88" s="1"/>
      <c r="D88" s="8"/>
    </row>
    <row r="89" spans="2:33" hidden="1" x14ac:dyDescent="0.2">
      <c r="B89" s="1"/>
      <c r="C89" s="1"/>
      <c r="D89" s="8"/>
    </row>
    <row r="90" spans="2:33" hidden="1" x14ac:dyDescent="0.2">
      <c r="B90" s="1"/>
      <c r="C90" s="1"/>
      <c r="D90" s="8"/>
    </row>
    <row r="91" spans="2:33" hidden="1" x14ac:dyDescent="0.2">
      <c r="B91" s="1"/>
      <c r="C91" s="1"/>
      <c r="D91" s="8"/>
    </row>
    <row r="92" spans="2:33" hidden="1" x14ac:dyDescent="0.2">
      <c r="B92" s="1"/>
      <c r="C92" s="1"/>
      <c r="D92" s="8"/>
    </row>
    <row r="93" spans="2:33" hidden="1" x14ac:dyDescent="0.2">
      <c r="B93" s="1"/>
      <c r="C93" s="1"/>
      <c r="D93" s="8"/>
    </row>
    <row r="94" spans="2:33" hidden="1" x14ac:dyDescent="0.2">
      <c r="B94" s="1"/>
      <c r="C94" s="1"/>
      <c r="D94" s="8"/>
    </row>
    <row r="95" spans="2:33" hidden="1" x14ac:dyDescent="0.2">
      <c r="B95" s="1"/>
      <c r="C95" s="1"/>
      <c r="D95" s="8"/>
    </row>
    <row r="96" spans="2:33" hidden="1" x14ac:dyDescent="0.2">
      <c r="B96" s="1"/>
      <c r="C96" s="1"/>
      <c r="D96" s="8"/>
    </row>
    <row r="97" spans="2:30" hidden="1" x14ac:dyDescent="0.2">
      <c r="B97" s="1"/>
      <c r="C97" s="1"/>
      <c r="D97" s="8"/>
      <c r="E97" s="1"/>
      <c r="F97" s="1"/>
      <c r="G97" s="1"/>
      <c r="H97" s="1"/>
      <c r="I97" s="1"/>
      <c r="J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idden="1" x14ac:dyDescent="0.2">
      <c r="B98" s="1"/>
      <c r="C98" s="1"/>
      <c r="D98" s="8"/>
      <c r="E98" s="1"/>
      <c r="F98" s="1"/>
      <c r="G98" s="1"/>
      <c r="H98" s="1"/>
      <c r="I98" s="1"/>
      <c r="J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idden="1" x14ac:dyDescent="0.2">
      <c r="B99" s="1"/>
      <c r="C99" s="1"/>
      <c r="D99" s="8"/>
      <c r="E99" s="1"/>
      <c r="F99" s="1"/>
      <c r="G99" s="1"/>
      <c r="H99" s="1"/>
      <c r="I99" s="1"/>
      <c r="J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idden="1" x14ac:dyDescent="0.2">
      <c r="B100" s="1"/>
      <c r="C100" s="1"/>
      <c r="D100" s="8"/>
      <c r="E100" s="1"/>
      <c r="F100" s="1"/>
      <c r="G100" s="1"/>
      <c r="H100" s="1"/>
      <c r="I100" s="1"/>
      <c r="J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idden="1" x14ac:dyDescent="0.2">
      <c r="B101" s="1"/>
      <c r="C101" s="1"/>
      <c r="D101" s="8"/>
      <c r="E101" s="1"/>
      <c r="F101" s="1"/>
      <c r="G101" s="1"/>
      <c r="H101" s="1"/>
      <c r="I101" s="1"/>
      <c r="J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idden="1" x14ac:dyDescent="0.2">
      <c r="B102" s="1"/>
      <c r="C102" s="1"/>
      <c r="D102" s="8"/>
      <c r="E102" s="1"/>
      <c r="F102" s="1"/>
      <c r="G102" s="1"/>
      <c r="H102" s="1"/>
      <c r="I102" s="1"/>
      <c r="J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hidden="1" x14ac:dyDescent="0.2">
      <c r="B103" s="1"/>
      <c r="C103" s="1"/>
      <c r="D103" s="8"/>
      <c r="E103" s="1"/>
      <c r="F103" s="1"/>
      <c r="G103" s="1"/>
      <c r="H103" s="1"/>
      <c r="I103" s="1"/>
      <c r="J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hidden="1" x14ac:dyDescent="0.2">
      <c r="B104" s="1"/>
      <c r="C104" s="1"/>
      <c r="D104" s="8"/>
      <c r="E104" s="1"/>
      <c r="F104" s="1"/>
      <c r="G104" s="1"/>
      <c r="H104" s="1"/>
      <c r="I104" s="1"/>
      <c r="J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hidden="1" x14ac:dyDescent="0.2">
      <c r="B105" s="1"/>
      <c r="C105" s="1"/>
      <c r="D105" s="8"/>
      <c r="E105" s="1"/>
      <c r="F105" s="1"/>
      <c r="G105" s="1"/>
      <c r="H105" s="1"/>
      <c r="I105" s="1"/>
      <c r="J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hidden="1" x14ac:dyDescent="0.2">
      <c r="B106" s="1"/>
      <c r="C106" s="1"/>
      <c r="D106" s="8"/>
      <c r="E106" s="1"/>
      <c r="F106" s="1"/>
      <c r="G106" s="1"/>
      <c r="H106" s="1"/>
      <c r="I106" s="1"/>
      <c r="J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hidden="1" x14ac:dyDescent="0.2">
      <c r="B107" s="1"/>
      <c r="C107" s="1"/>
      <c r="D107" s="8"/>
      <c r="E107" s="1"/>
      <c r="F107" s="1"/>
      <c r="G107" s="1"/>
      <c r="H107" s="1"/>
      <c r="I107" s="1"/>
      <c r="J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hidden="1" x14ac:dyDescent="0.2">
      <c r="B108" s="1"/>
      <c r="C108" s="1"/>
      <c r="D108" s="8"/>
      <c r="E108" s="1"/>
      <c r="F108" s="1"/>
      <c r="G108" s="1"/>
      <c r="H108" s="1"/>
      <c r="I108" s="1"/>
      <c r="J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hidden="1" x14ac:dyDescent="0.2">
      <c r="B109" s="1"/>
      <c r="C109" s="1"/>
      <c r="D109" s="8"/>
      <c r="E109" s="1"/>
      <c r="F109" s="1"/>
      <c r="G109" s="1"/>
      <c r="H109" s="1"/>
      <c r="I109" s="1"/>
      <c r="J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hidden="1" x14ac:dyDescent="0.2">
      <c r="B110" s="1"/>
      <c r="C110" s="1"/>
      <c r="D110" s="8"/>
      <c r="E110" s="1"/>
      <c r="F110" s="1"/>
      <c r="G110" s="1"/>
      <c r="H110" s="1"/>
      <c r="I110" s="1"/>
      <c r="J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hidden="1" x14ac:dyDescent="0.2">
      <c r="B111" s="1"/>
      <c r="C111" s="1"/>
      <c r="D111" s="8"/>
      <c r="E111" s="1"/>
      <c r="F111" s="1"/>
      <c r="G111" s="1"/>
      <c r="H111" s="1"/>
      <c r="I111" s="1"/>
      <c r="J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hidden="1" x14ac:dyDescent="0.2">
      <c r="B112" s="1"/>
      <c r="C112" s="1"/>
      <c r="D112" s="8"/>
      <c r="E112" s="1"/>
      <c r="F112" s="1"/>
      <c r="G112" s="1"/>
      <c r="H112" s="1"/>
      <c r="I112" s="1"/>
      <c r="J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hidden="1" x14ac:dyDescent="0.2">
      <c r="B113" s="1"/>
      <c r="C113" s="1"/>
      <c r="D113" s="8"/>
      <c r="E113" s="1"/>
      <c r="F113" s="1"/>
      <c r="G113" s="1"/>
      <c r="H113" s="1"/>
      <c r="I113" s="1"/>
      <c r="J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hidden="1" x14ac:dyDescent="0.2">
      <c r="B114" s="1"/>
      <c r="C114" s="1"/>
      <c r="D114" s="8"/>
      <c r="E114" s="1"/>
      <c r="F114" s="1"/>
      <c r="G114" s="1"/>
      <c r="H114" s="1"/>
      <c r="I114" s="1"/>
      <c r="J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hidden="1" x14ac:dyDescent="0.2">
      <c r="B115" s="1"/>
      <c r="C115" s="1"/>
      <c r="D115" s="8"/>
      <c r="E115" s="1"/>
      <c r="F115" s="1"/>
      <c r="G115" s="1"/>
      <c r="H115" s="1"/>
      <c r="I115" s="1"/>
      <c r="J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hidden="1" x14ac:dyDescent="0.2">
      <c r="B116" s="1"/>
      <c r="C116" s="1"/>
      <c r="D116" s="8"/>
      <c r="E116" s="1"/>
      <c r="F116" s="1"/>
      <c r="G116" s="1"/>
      <c r="H116" s="1"/>
      <c r="I116" s="1"/>
      <c r="J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hidden="1" x14ac:dyDescent="0.2">
      <c r="B117" s="1"/>
      <c r="C117" s="1"/>
      <c r="D117" s="8"/>
      <c r="E117" s="1"/>
      <c r="F117" s="1"/>
      <c r="G117" s="1"/>
      <c r="H117" s="1"/>
      <c r="I117" s="1"/>
      <c r="J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hidden="1" x14ac:dyDescent="0.2">
      <c r="B118" s="1"/>
      <c r="C118" s="1"/>
      <c r="D118" s="8"/>
      <c r="E118" s="1"/>
      <c r="F118" s="1"/>
      <c r="G118" s="1"/>
      <c r="H118" s="1"/>
      <c r="I118" s="1"/>
      <c r="J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hidden="1" x14ac:dyDescent="0.2">
      <c r="B119" s="1"/>
      <c r="C119" s="1"/>
      <c r="D119" s="8"/>
      <c r="E119" s="1"/>
      <c r="F119" s="1"/>
      <c r="G119" s="1"/>
      <c r="H119" s="1"/>
      <c r="I119" s="1"/>
      <c r="J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hidden="1" x14ac:dyDescent="0.2">
      <c r="B120" s="1"/>
      <c r="C120" s="1"/>
      <c r="D120" s="8"/>
      <c r="E120" s="1"/>
      <c r="F120" s="1"/>
      <c r="G120" s="1"/>
      <c r="H120" s="1"/>
      <c r="I120" s="1"/>
      <c r="J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hidden="1" x14ac:dyDescent="0.2">
      <c r="B121" s="1"/>
      <c r="C121" s="1"/>
      <c r="D121" s="8"/>
      <c r="E121" s="1"/>
      <c r="F121" s="1"/>
      <c r="G121" s="1"/>
      <c r="H121" s="1"/>
      <c r="I121" s="1"/>
      <c r="J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hidden="1" x14ac:dyDescent="0.2">
      <c r="B122" s="1"/>
      <c r="C122" s="1"/>
      <c r="D122" s="8"/>
      <c r="E122" s="1"/>
      <c r="F122" s="1"/>
      <c r="G122" s="1"/>
      <c r="H122" s="1"/>
      <c r="I122" s="1"/>
      <c r="J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hidden="1" x14ac:dyDescent="0.2">
      <c r="B123" s="1"/>
      <c r="C123" s="1"/>
      <c r="D123" s="8"/>
      <c r="E123" s="1"/>
      <c r="F123" s="1"/>
      <c r="G123" s="1"/>
      <c r="H123" s="1"/>
      <c r="I123" s="1"/>
      <c r="J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hidden="1" x14ac:dyDescent="0.2">
      <c r="B124" s="1"/>
      <c r="C124" s="1"/>
      <c r="D124" s="8"/>
      <c r="E124" s="1"/>
      <c r="F124" s="1"/>
      <c r="G124" s="1"/>
      <c r="H124" s="1"/>
      <c r="I124" s="1"/>
      <c r="J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hidden="1" x14ac:dyDescent="0.2">
      <c r="B125" s="1"/>
      <c r="C125" s="1"/>
      <c r="D125" s="8"/>
      <c r="E125" s="1"/>
      <c r="F125" s="1"/>
      <c r="G125" s="1"/>
      <c r="H125" s="1"/>
      <c r="I125" s="1"/>
      <c r="J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hidden="1" x14ac:dyDescent="0.2">
      <c r="B126" s="1"/>
      <c r="C126" s="1"/>
      <c r="D126" s="8"/>
      <c r="E126" s="1"/>
      <c r="F126" s="1"/>
      <c r="G126" s="1"/>
      <c r="H126" s="1"/>
      <c r="I126" s="1"/>
      <c r="J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hidden="1" x14ac:dyDescent="0.2">
      <c r="B127" s="1"/>
      <c r="C127" s="1"/>
      <c r="D127" s="8"/>
      <c r="E127" s="1"/>
      <c r="F127" s="1"/>
      <c r="G127" s="1"/>
      <c r="H127" s="1"/>
      <c r="I127" s="1"/>
      <c r="J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hidden="1" x14ac:dyDescent="0.2">
      <c r="B128" s="1"/>
      <c r="C128" s="1"/>
      <c r="D128" s="8"/>
      <c r="E128" s="1"/>
      <c r="F128" s="1"/>
      <c r="G128" s="1"/>
      <c r="H128" s="1"/>
      <c r="I128" s="1"/>
      <c r="J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3" hidden="1" x14ac:dyDescent="0.2">
      <c r="B129" s="1"/>
      <c r="C129" s="1"/>
      <c r="D129" s="8"/>
      <c r="L129" s="1"/>
    </row>
    <row r="130" spans="2:33" hidden="1" x14ac:dyDescent="0.2">
      <c r="B130" s="1"/>
      <c r="C130" s="1"/>
      <c r="D130" s="8"/>
    </row>
    <row r="131" spans="2:33" hidden="1" x14ac:dyDescent="0.2">
      <c r="B131" s="1"/>
      <c r="C131" s="1"/>
      <c r="D131" s="8"/>
    </row>
    <row r="132" spans="2:33" hidden="1" x14ac:dyDescent="0.2">
      <c r="B132" s="1"/>
      <c r="C132" s="1"/>
      <c r="D132" s="8"/>
    </row>
    <row r="133" spans="2:33" hidden="1" x14ac:dyDescent="0.2">
      <c r="B133" s="1"/>
      <c r="C133" s="1"/>
      <c r="D133" s="8"/>
    </row>
    <row r="134" spans="2:33" hidden="1" x14ac:dyDescent="0.2">
      <c r="B134" s="1"/>
      <c r="C134" s="1"/>
      <c r="D134" s="8"/>
    </row>
    <row r="135" spans="2:33" hidden="1" x14ac:dyDescent="0.2">
      <c r="B135" s="1"/>
      <c r="C135" s="1"/>
      <c r="D135" s="8"/>
    </row>
    <row r="136" spans="2:33" hidden="1" x14ac:dyDescent="0.2">
      <c r="B136" s="1"/>
      <c r="C136" s="1"/>
      <c r="D136" s="8"/>
    </row>
    <row r="137" spans="2:33" hidden="1" x14ac:dyDescent="0.2">
      <c r="B137" s="1"/>
      <c r="C137" s="1"/>
      <c r="D137" s="8"/>
    </row>
    <row r="138" spans="2:33" hidden="1" x14ac:dyDescent="0.2">
      <c r="B138" s="1"/>
      <c r="C138" s="1"/>
      <c r="D138" s="8"/>
    </row>
    <row r="139" spans="2:33" hidden="1" x14ac:dyDescent="0.2">
      <c r="B139" s="1"/>
      <c r="C139" s="1"/>
      <c r="D139" s="8"/>
    </row>
    <row r="140" spans="2:33" hidden="1" x14ac:dyDescent="0.2">
      <c r="B140" s="1"/>
      <c r="C140" s="1"/>
      <c r="D140" s="8"/>
    </row>
    <row r="141" spans="2:33" hidden="1" x14ac:dyDescent="0.2">
      <c r="B141" s="1"/>
      <c r="C141" s="1"/>
      <c r="D141" s="8"/>
    </row>
    <row r="142" spans="2:33" hidden="1" x14ac:dyDescent="0.2">
      <c r="B142" s="1"/>
      <c r="C142" s="1"/>
      <c r="D142" s="8"/>
    </row>
    <row r="143" spans="2:33" hidden="1" x14ac:dyDescent="0.2">
      <c r="B143" s="1"/>
      <c r="C143" s="1"/>
      <c r="D143" s="8"/>
      <c r="AG143" s="4"/>
    </row>
    <row r="144" spans="2:33" hidden="1" x14ac:dyDescent="0.2">
      <c r="B144" s="1"/>
      <c r="C144" s="1"/>
      <c r="D144" s="8"/>
    </row>
    <row r="145" spans="2:30" hidden="1" x14ac:dyDescent="0.2">
      <c r="B145" s="1"/>
      <c r="C145" s="1"/>
      <c r="D145" s="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hidden="1" x14ac:dyDescent="0.2">
      <c r="B146" s="1"/>
      <c r="C146" s="1"/>
      <c r="D146" s="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hidden="1" x14ac:dyDescent="0.2">
      <c r="B147" s="1"/>
      <c r="C147" s="1"/>
      <c r="D147" s="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hidden="1" x14ac:dyDescent="0.2">
      <c r="B148" s="1"/>
      <c r="C148" s="1"/>
      <c r="D148" s="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hidden="1" x14ac:dyDescent="0.2">
      <c r="B149" s="1"/>
      <c r="C149" s="1"/>
      <c r="D149" s="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hidden="1" x14ac:dyDescent="0.2">
      <c r="B150" s="1"/>
      <c r="C150" s="1"/>
      <c r="D150" s="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hidden="1" x14ac:dyDescent="0.2">
      <c r="B151" s="1"/>
      <c r="C151" s="1"/>
      <c r="D151" s="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hidden="1" x14ac:dyDescent="0.2">
      <c r="B152" s="1"/>
      <c r="C152" s="1"/>
      <c r="D152" s="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hidden="1" x14ac:dyDescent="0.2">
      <c r="B153" s="1"/>
      <c r="C153" s="1"/>
      <c r="D153" s="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hidden="1" x14ac:dyDescent="0.2">
      <c r="B154" s="1"/>
      <c r="C154" s="1"/>
      <c r="D154" s="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:30" hidden="1" x14ac:dyDescent="0.2"/>
    <row r="156" spans="2:30" hidden="1" x14ac:dyDescent="0.2"/>
    <row r="157" spans="2:30" hidden="1" x14ac:dyDescent="0.2"/>
    <row r="158" spans="2:30" hidden="1" x14ac:dyDescent="0.2"/>
    <row r="159" spans="2:30" hidden="1" x14ac:dyDescent="0.2"/>
    <row r="160" spans="2:30" hidden="1" x14ac:dyDescent="0.2"/>
    <row r="161" spans="2:30" hidden="1" x14ac:dyDescent="0.2"/>
    <row r="162" spans="2:30" hidden="1" x14ac:dyDescent="0.2"/>
    <row r="163" spans="2:30" hidden="1" x14ac:dyDescent="0.2"/>
    <row r="164" spans="2:30" hidden="1" x14ac:dyDescent="0.2"/>
    <row r="165" spans="2:30" hidden="1" x14ac:dyDescent="0.2"/>
    <row r="166" spans="2:30" hidden="1" x14ac:dyDescent="0.2"/>
    <row r="167" spans="2:30" hidden="1" x14ac:dyDescent="0.2"/>
    <row r="168" spans="2:30" hidden="1" x14ac:dyDescent="0.2"/>
    <row r="169" spans="2:30" hidden="1" x14ac:dyDescent="0.2"/>
    <row r="170" spans="2:30" hidden="1" x14ac:dyDescent="0.2"/>
    <row r="171" spans="2:30" hidden="1" x14ac:dyDescent="0.2"/>
    <row r="172" spans="2:30" hidden="1" x14ac:dyDescent="0.2"/>
    <row r="173" spans="2:30" hidden="1" x14ac:dyDescent="0.2">
      <c r="B173" s="1"/>
      <c r="C173" s="1"/>
      <c r="K173" s="13"/>
      <c r="L173" s="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2:30" hidden="1" x14ac:dyDescent="0.2">
      <c r="B174" s="1"/>
      <c r="C174" s="1"/>
      <c r="K174" s="13"/>
      <c r="L174" s="13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2:30" hidden="1" x14ac:dyDescent="0.2">
      <c r="B175" s="1"/>
      <c r="C175" s="1"/>
      <c r="D175" s="5"/>
      <c r="E175" s="5"/>
      <c r="F175" s="5"/>
      <c r="G175" s="5"/>
      <c r="H175" s="5"/>
      <c r="I175" s="5"/>
      <c r="J175" s="5"/>
      <c r="K175" s="13"/>
      <c r="L175" s="13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2:30" hidden="1" x14ac:dyDescent="0.2">
      <c r="B176" s="1"/>
      <c r="C176" s="1"/>
      <c r="D176" s="5"/>
      <c r="E176" s="5"/>
      <c r="F176" s="5"/>
      <c r="G176" s="5"/>
      <c r="H176" s="5"/>
      <c r="I176" s="5"/>
      <c r="J176" s="5"/>
      <c r="K176" s="13"/>
      <c r="L176" s="13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2:33" hidden="1" x14ac:dyDescent="0.2">
      <c r="B177" s="1"/>
      <c r="C177" s="1"/>
      <c r="D177" s="5"/>
      <c r="E177" s="5"/>
      <c r="F177" s="5"/>
      <c r="G177" s="5"/>
      <c r="H177" s="5"/>
      <c r="I177" s="5"/>
      <c r="J177" s="5"/>
      <c r="K177" s="13"/>
      <c r="L177" s="13"/>
    </row>
    <row r="178" spans="2:33" hidden="1" x14ac:dyDescent="0.2">
      <c r="B178" s="1"/>
      <c r="C178" s="1"/>
      <c r="D178" s="5"/>
      <c r="E178" s="5"/>
      <c r="F178" s="5"/>
      <c r="G178" s="5"/>
      <c r="H178" s="5"/>
      <c r="I178" s="5"/>
      <c r="J178" s="5"/>
      <c r="K178" s="13"/>
      <c r="L178" s="13"/>
    </row>
    <row r="179" spans="2:33" hidden="1" x14ac:dyDescent="0.2">
      <c r="B179" s="1"/>
      <c r="C179" s="1"/>
      <c r="D179" s="5"/>
      <c r="E179" s="5"/>
      <c r="F179" s="5"/>
      <c r="G179" s="5"/>
      <c r="H179" s="5"/>
      <c r="I179" s="5"/>
      <c r="J179" s="5"/>
      <c r="K179" s="13"/>
      <c r="L179" s="13"/>
    </row>
    <row r="180" spans="2:33" hidden="1" x14ac:dyDescent="0.2">
      <c r="B180" s="1"/>
      <c r="C180" s="1"/>
      <c r="D180" s="5"/>
      <c r="E180" s="5"/>
      <c r="F180" s="5"/>
      <c r="G180" s="5"/>
      <c r="H180" s="5"/>
      <c r="I180" s="5"/>
      <c r="J180" s="5"/>
      <c r="K180" s="13"/>
      <c r="L180" s="13"/>
    </row>
    <row r="181" spans="2:33" hidden="1" x14ac:dyDescent="0.2">
      <c r="B181" s="1"/>
      <c r="C181" s="1"/>
      <c r="D181" s="5"/>
      <c r="E181" s="5"/>
      <c r="F181" s="5"/>
      <c r="G181" s="5"/>
      <c r="H181" s="5"/>
      <c r="I181" s="5"/>
      <c r="J181" s="5"/>
      <c r="K181" s="13"/>
      <c r="L181" s="13"/>
    </row>
    <row r="182" spans="2:33" hidden="1" x14ac:dyDescent="0.2">
      <c r="B182" s="1"/>
      <c r="C182" s="1"/>
      <c r="D182" s="5"/>
      <c r="E182" s="5"/>
      <c r="F182" s="5"/>
      <c r="G182" s="5"/>
      <c r="H182" s="5"/>
      <c r="I182" s="5"/>
      <c r="J182" s="5"/>
      <c r="K182" s="13"/>
      <c r="L182" s="13"/>
    </row>
    <row r="183" spans="2:33" hidden="1" x14ac:dyDescent="0.2">
      <c r="B183" s="1"/>
      <c r="C183" s="1"/>
      <c r="D183" s="5"/>
      <c r="E183" s="5"/>
      <c r="F183" s="5"/>
      <c r="G183" s="5"/>
      <c r="H183" s="5"/>
      <c r="I183" s="5"/>
      <c r="J183" s="5"/>
      <c r="K183" s="13"/>
      <c r="L183" s="13"/>
    </row>
    <row r="184" spans="2:33" hidden="1" x14ac:dyDescent="0.2">
      <c r="B184" s="1"/>
      <c r="C184" s="1"/>
      <c r="D184" s="5"/>
      <c r="E184" s="5"/>
      <c r="F184" s="5"/>
      <c r="G184" s="5"/>
      <c r="H184" s="5"/>
      <c r="I184" s="5"/>
      <c r="J184" s="5"/>
      <c r="K184" s="13"/>
      <c r="L184" s="13"/>
    </row>
    <row r="185" spans="2:33" hidden="1" x14ac:dyDescent="0.2">
      <c r="B185" s="1"/>
      <c r="C185" s="1"/>
      <c r="D185" s="5"/>
      <c r="E185" s="5"/>
      <c r="F185" s="5"/>
      <c r="G185" s="5"/>
      <c r="H185" s="5"/>
      <c r="I185" s="5"/>
      <c r="J185" s="5"/>
      <c r="K185" s="13"/>
      <c r="L185" s="13"/>
    </row>
    <row r="186" spans="2:33" hidden="1" x14ac:dyDescent="0.2">
      <c r="B186" s="1"/>
      <c r="C186" s="1"/>
      <c r="D186" s="5"/>
      <c r="E186" s="5"/>
      <c r="F186" s="5"/>
      <c r="G186" s="5"/>
      <c r="H186" s="5"/>
      <c r="I186" s="5"/>
      <c r="J186" s="5"/>
      <c r="K186" s="13"/>
      <c r="L186" s="13"/>
      <c r="AG186" s="3"/>
    </row>
    <row r="187" spans="2:33" hidden="1" x14ac:dyDescent="0.2">
      <c r="B187" s="1"/>
      <c r="C187" s="1"/>
      <c r="D187" s="5"/>
      <c r="E187" s="5"/>
      <c r="F187" s="5"/>
      <c r="G187" s="5"/>
      <c r="H187" s="5"/>
      <c r="I187" s="5"/>
      <c r="J187" s="5"/>
      <c r="K187" s="13"/>
      <c r="L187" s="13"/>
    </row>
    <row r="188" spans="2:33" hidden="1" x14ac:dyDescent="0.2">
      <c r="B188" s="1"/>
      <c r="C188" s="1"/>
      <c r="D188" s="5"/>
      <c r="E188" s="5"/>
      <c r="F188" s="5"/>
      <c r="G188" s="5"/>
      <c r="H188" s="5"/>
      <c r="I188" s="5"/>
      <c r="J188" s="5"/>
      <c r="K188" s="13"/>
      <c r="L188" s="13"/>
    </row>
    <row r="189" spans="2:33" hidden="1" x14ac:dyDescent="0.2">
      <c r="B189" s="1"/>
      <c r="C189" s="1"/>
      <c r="D189" s="5"/>
      <c r="E189" s="5"/>
      <c r="F189" s="5"/>
      <c r="G189" s="5"/>
      <c r="H189" s="5"/>
      <c r="I189" s="5"/>
      <c r="J189" s="5"/>
      <c r="K189" s="13"/>
      <c r="L189" s="13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2:33" hidden="1" x14ac:dyDescent="0.2">
      <c r="B190" s="1"/>
      <c r="C190" s="1"/>
      <c r="D190" s="5"/>
      <c r="E190" s="5"/>
      <c r="F190" s="5"/>
      <c r="G190" s="5"/>
      <c r="H190" s="5"/>
      <c r="I190" s="5"/>
      <c r="J190" s="5"/>
      <c r="K190" s="13"/>
      <c r="L190" s="1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2:33" hidden="1" x14ac:dyDescent="0.2">
      <c r="B191" s="1"/>
      <c r="C191" s="1"/>
      <c r="D191" s="5"/>
      <c r="E191" s="5"/>
      <c r="F191" s="5"/>
      <c r="G191" s="5"/>
      <c r="H191" s="5"/>
      <c r="I191" s="5"/>
      <c r="J191" s="5"/>
      <c r="K191" s="13"/>
      <c r="L191" s="13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2:33" hidden="1" x14ac:dyDescent="0.2">
      <c r="B192" s="1"/>
      <c r="C192" s="1"/>
      <c r="D192" s="5"/>
      <c r="E192" s="5"/>
      <c r="F192" s="5"/>
      <c r="G192" s="5"/>
      <c r="H192" s="5"/>
      <c r="I192" s="5"/>
      <c r="J192" s="5"/>
      <c r="K192" s="13"/>
      <c r="L192" s="13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2:30" hidden="1" x14ac:dyDescent="0.2">
      <c r="B193" s="1"/>
      <c r="C193" s="1"/>
      <c r="D193" s="5"/>
      <c r="E193" s="5"/>
      <c r="F193" s="5"/>
      <c r="G193" s="5"/>
      <c r="H193" s="5"/>
      <c r="I193" s="5"/>
      <c r="J193" s="5"/>
      <c r="K193" s="13"/>
      <c r="L193" s="13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2:30" hidden="1" x14ac:dyDescent="0.2">
      <c r="B194" s="1"/>
      <c r="C194" s="1"/>
      <c r="D194" s="5"/>
      <c r="E194" s="5"/>
      <c r="F194" s="5"/>
      <c r="G194" s="5"/>
      <c r="H194" s="5"/>
      <c r="I194" s="5"/>
      <c r="J194" s="5"/>
      <c r="K194" s="13"/>
      <c r="L194" s="13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2:30" hidden="1" x14ac:dyDescent="0.2">
      <c r="B195" s="1"/>
      <c r="C195" s="1"/>
      <c r="D195" s="5"/>
      <c r="E195" s="5"/>
      <c r="F195" s="5"/>
      <c r="G195" s="5"/>
      <c r="H195" s="5"/>
      <c r="I195" s="5"/>
      <c r="J195" s="5"/>
      <c r="K195" s="13"/>
      <c r="L195" s="13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2:30" hidden="1" x14ac:dyDescent="0.2">
      <c r="B196" s="1"/>
      <c r="C196" s="1"/>
      <c r="D196" s="5"/>
      <c r="E196" s="5"/>
      <c r="F196" s="5"/>
      <c r="G196" s="5"/>
      <c r="H196" s="5"/>
      <c r="I196" s="5"/>
      <c r="J196" s="5"/>
      <c r="K196" s="13"/>
      <c r="L196" s="13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2:30" hidden="1" x14ac:dyDescent="0.2">
      <c r="B197" s="1"/>
      <c r="C197" s="1"/>
      <c r="D197" s="5"/>
      <c r="E197" s="5"/>
      <c r="F197" s="5"/>
      <c r="G197" s="5"/>
      <c r="H197" s="5"/>
      <c r="I197" s="5"/>
      <c r="J197" s="5"/>
      <c r="K197" s="13"/>
      <c r="L197" s="13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2:30" hidden="1" x14ac:dyDescent="0.2">
      <c r="B198" s="1"/>
      <c r="C198" s="1"/>
      <c r="D198" s="5"/>
      <c r="E198" s="5"/>
      <c r="F198" s="5"/>
      <c r="G198" s="5"/>
      <c r="H198" s="5"/>
      <c r="I198" s="5"/>
      <c r="J198" s="5"/>
      <c r="K198" s="13"/>
      <c r="L198" s="13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2:30" hidden="1" x14ac:dyDescent="0.2">
      <c r="B199" s="1"/>
      <c r="C199" s="1"/>
      <c r="D199" s="5"/>
      <c r="E199" s="5"/>
      <c r="F199" s="5"/>
      <c r="G199" s="5"/>
      <c r="H199" s="5"/>
      <c r="I199" s="5"/>
      <c r="J199" s="5"/>
      <c r="K199" s="13"/>
      <c r="L199" s="13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2:30" hidden="1" x14ac:dyDescent="0.2">
      <c r="B200" s="1"/>
      <c r="C200" s="1"/>
      <c r="D200" s="5"/>
      <c r="E200" s="5"/>
      <c r="F200" s="5"/>
      <c r="G200" s="5"/>
      <c r="H200" s="5"/>
      <c r="I200" s="5"/>
      <c r="J200" s="5"/>
      <c r="K200" s="13"/>
      <c r="L200" s="13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2:30" hidden="1" x14ac:dyDescent="0.2">
      <c r="B201" s="1"/>
      <c r="C201" s="1"/>
      <c r="D201" s="5"/>
      <c r="E201" s="5"/>
      <c r="F201" s="5"/>
      <c r="G201" s="5"/>
      <c r="H201" s="5"/>
      <c r="I201" s="5"/>
      <c r="J201" s="5"/>
      <c r="K201" s="13"/>
      <c r="L201" s="13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2:30" hidden="1" x14ac:dyDescent="0.2">
      <c r="B202" s="1"/>
      <c r="C202" s="1"/>
      <c r="D202" s="5"/>
      <c r="E202" s="5"/>
      <c r="F202" s="5"/>
      <c r="G202" s="5"/>
      <c r="H202" s="5"/>
      <c r="I202" s="5"/>
      <c r="J202" s="5"/>
      <c r="K202" s="13"/>
      <c r="L202" s="13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2:30" hidden="1" x14ac:dyDescent="0.2">
      <c r="B203" s="1"/>
      <c r="C203" s="1"/>
      <c r="D203" s="5"/>
      <c r="E203" s="5"/>
      <c r="F203" s="5"/>
      <c r="G203" s="5"/>
      <c r="H203" s="5"/>
      <c r="I203" s="5"/>
      <c r="J203" s="5"/>
      <c r="K203" s="13"/>
      <c r="L203" s="13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2:30" hidden="1" x14ac:dyDescent="0.2">
      <c r="B204" s="1"/>
      <c r="C204" s="1"/>
      <c r="D204" s="5"/>
      <c r="E204" s="5"/>
      <c r="F204" s="5"/>
      <c r="G204" s="5"/>
      <c r="H204" s="5"/>
      <c r="I204" s="5"/>
      <c r="J204" s="5"/>
      <c r="K204" s="13"/>
      <c r="L204" s="13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2:30" hidden="1" x14ac:dyDescent="0.2">
      <c r="B205" s="1"/>
      <c r="C205" s="1"/>
      <c r="D205" s="5"/>
      <c r="E205" s="5"/>
      <c r="F205" s="5"/>
      <c r="G205" s="5"/>
      <c r="H205" s="5"/>
      <c r="I205" s="5"/>
      <c r="J205" s="5"/>
      <c r="K205" s="13"/>
      <c r="L205" s="13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2:30" hidden="1" x14ac:dyDescent="0.2">
      <c r="B206" s="1"/>
      <c r="C206" s="1"/>
      <c r="D206" s="5"/>
      <c r="E206" s="5"/>
      <c r="F206" s="5"/>
      <c r="G206" s="5"/>
      <c r="H206" s="5"/>
      <c r="I206" s="5"/>
      <c r="J206" s="5"/>
      <c r="K206" s="13"/>
      <c r="L206" s="13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2:30" hidden="1" x14ac:dyDescent="0.2">
      <c r="B207" s="1"/>
      <c r="C207" s="1"/>
      <c r="D207" s="5"/>
      <c r="E207" s="5"/>
      <c r="F207" s="5"/>
      <c r="G207" s="5"/>
      <c r="H207" s="5"/>
      <c r="I207" s="5"/>
      <c r="J207" s="5"/>
      <c r="K207" s="13"/>
      <c r="L207" s="13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2:30" hidden="1" x14ac:dyDescent="0.2">
      <c r="B208" s="1"/>
      <c r="C208" s="1"/>
      <c r="D208" s="5"/>
      <c r="E208" s="5"/>
      <c r="F208" s="5"/>
      <c r="G208" s="5"/>
      <c r="H208" s="5"/>
      <c r="I208" s="5"/>
      <c r="J208" s="5"/>
      <c r="K208" s="13"/>
      <c r="L208" s="13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2:30" hidden="1" x14ac:dyDescent="0.2">
      <c r="B209" s="1"/>
      <c r="C209" s="1"/>
      <c r="D209" s="5"/>
      <c r="E209" s="5"/>
      <c r="F209" s="5"/>
      <c r="G209" s="5"/>
      <c r="H209" s="5"/>
      <c r="I209" s="5"/>
      <c r="J209" s="5"/>
      <c r="K209" s="13"/>
      <c r="L209" s="13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2:30" hidden="1" x14ac:dyDescent="0.2">
      <c r="B210" s="1"/>
      <c r="C210" s="1"/>
      <c r="D210" s="5"/>
      <c r="E210" s="5"/>
      <c r="F210" s="5"/>
      <c r="G210" s="5"/>
      <c r="H210" s="5"/>
      <c r="I210" s="5"/>
      <c r="J210" s="5"/>
      <c r="K210" s="13"/>
      <c r="L210" s="13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2:30" hidden="1" x14ac:dyDescent="0.2">
      <c r="B211" s="1"/>
      <c r="C211" s="1"/>
      <c r="D211" s="5"/>
      <c r="E211" s="5"/>
      <c r="F211" s="5"/>
      <c r="G211" s="5"/>
      <c r="H211" s="5"/>
      <c r="I211" s="5"/>
      <c r="J211" s="5"/>
      <c r="K211" s="13"/>
      <c r="L211" s="13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2:30" hidden="1" x14ac:dyDescent="0.2">
      <c r="B212" s="1"/>
      <c r="C212" s="1"/>
      <c r="D212" s="5"/>
      <c r="E212" s="5"/>
      <c r="F212" s="5"/>
      <c r="G212" s="5"/>
      <c r="H212" s="5"/>
      <c r="I212" s="5"/>
      <c r="J212" s="5"/>
      <c r="K212" s="13"/>
      <c r="L212" s="13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2:30" hidden="1" x14ac:dyDescent="0.2">
      <c r="B213" s="1"/>
      <c r="C213" s="1"/>
      <c r="D213" s="5"/>
      <c r="E213" s="5"/>
      <c r="F213" s="5"/>
      <c r="G213" s="5"/>
      <c r="H213" s="5"/>
      <c r="I213" s="5"/>
      <c r="J213" s="5"/>
      <c r="K213" s="13"/>
      <c r="L213" s="13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2:30" hidden="1" x14ac:dyDescent="0.2">
      <c r="B214" s="1"/>
      <c r="C214" s="1"/>
      <c r="D214" s="5"/>
      <c r="E214" s="5"/>
      <c r="F214" s="5"/>
      <c r="G214" s="5"/>
      <c r="H214" s="5"/>
      <c r="I214" s="5"/>
      <c r="J214" s="5"/>
      <c r="K214" s="13"/>
      <c r="L214" s="13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2:30" hidden="1" x14ac:dyDescent="0.2">
      <c r="B215" s="1"/>
      <c r="C215" s="1"/>
      <c r="D215" s="5"/>
      <c r="E215" s="5"/>
      <c r="F215" s="5"/>
      <c r="G215" s="5"/>
      <c r="H215" s="5"/>
      <c r="I215" s="5"/>
      <c r="J215" s="5"/>
      <c r="K215" s="13"/>
      <c r="L215" s="13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2:30" hidden="1" x14ac:dyDescent="0.2">
      <c r="B216" s="1"/>
      <c r="C216" s="1"/>
      <c r="D216" s="5"/>
      <c r="E216" s="5"/>
      <c r="F216" s="5"/>
      <c r="G216" s="5"/>
      <c r="H216" s="5"/>
      <c r="I216" s="5"/>
      <c r="J216" s="5"/>
      <c r="K216" s="13"/>
      <c r="L216" s="13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2:30" hidden="1" x14ac:dyDescent="0.2">
      <c r="B217" s="1"/>
      <c r="C217" s="1"/>
      <c r="D217" s="5"/>
      <c r="E217" s="5"/>
      <c r="F217" s="5"/>
      <c r="G217" s="5"/>
      <c r="H217" s="5"/>
      <c r="I217" s="5"/>
      <c r="J217" s="5"/>
      <c r="K217" s="13"/>
      <c r="L217" s="13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2:30" hidden="1" x14ac:dyDescent="0.2">
      <c r="B218" s="1"/>
      <c r="C218" s="1"/>
      <c r="D218" s="5"/>
      <c r="E218" s="5"/>
      <c r="F218" s="5"/>
      <c r="G218" s="5"/>
      <c r="H218" s="5"/>
      <c r="I218" s="5"/>
      <c r="J218" s="5"/>
      <c r="K218" s="13"/>
      <c r="L218" s="13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2:30" hidden="1" x14ac:dyDescent="0.2">
      <c r="B219" s="1"/>
      <c r="C219" s="1"/>
      <c r="D219" s="5"/>
      <c r="E219" s="5"/>
      <c r="F219" s="5"/>
      <c r="G219" s="5"/>
      <c r="H219" s="5"/>
      <c r="I219" s="5"/>
      <c r="J219" s="5"/>
      <c r="K219" s="13"/>
      <c r="L219" s="13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2:30" hidden="1" x14ac:dyDescent="0.2">
      <c r="B220" s="1"/>
      <c r="C220" s="1"/>
      <c r="D220" s="5"/>
      <c r="E220" s="5"/>
      <c r="F220" s="5"/>
      <c r="G220" s="5"/>
      <c r="H220" s="5"/>
      <c r="I220" s="5"/>
      <c r="J220" s="5"/>
      <c r="K220" s="13"/>
      <c r="L220" s="13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2:30" hidden="1" x14ac:dyDescent="0.2">
      <c r="B221" s="1"/>
      <c r="C221" s="1"/>
      <c r="D221" s="5"/>
      <c r="E221" s="5"/>
      <c r="F221" s="5"/>
      <c r="G221" s="5"/>
      <c r="H221" s="5"/>
      <c r="I221" s="5"/>
      <c r="J221" s="5"/>
      <c r="K221" s="13"/>
      <c r="L221" s="13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2:30" hidden="1" x14ac:dyDescent="0.2">
      <c r="B222" s="1"/>
      <c r="C222" s="1"/>
      <c r="D222" s="5"/>
      <c r="E222" s="5"/>
      <c r="F222" s="5"/>
      <c r="G222" s="5"/>
      <c r="H222" s="5"/>
      <c r="I222" s="5"/>
      <c r="J222" s="5"/>
      <c r="K222" s="13"/>
      <c r="L222" s="13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2:30" hidden="1" x14ac:dyDescent="0.2">
      <c r="B223" s="1"/>
      <c r="C223" s="1"/>
      <c r="D223" s="5"/>
      <c r="E223" s="5"/>
      <c r="F223" s="5"/>
      <c r="G223" s="5"/>
      <c r="H223" s="5"/>
      <c r="I223" s="5"/>
      <c r="J223" s="5"/>
      <c r="K223" s="13"/>
      <c r="L223" s="13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2:30" hidden="1" x14ac:dyDescent="0.2">
      <c r="B224" s="1"/>
      <c r="C224" s="1"/>
      <c r="D224" s="5"/>
      <c r="E224" s="5"/>
      <c r="F224" s="5"/>
      <c r="G224" s="5"/>
      <c r="H224" s="5"/>
      <c r="I224" s="5"/>
      <c r="J224" s="5"/>
      <c r="K224" s="13"/>
      <c r="L224" s="13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2:30" hidden="1" x14ac:dyDescent="0.2">
      <c r="B225" s="1"/>
      <c r="C225" s="1"/>
      <c r="D225" s="5"/>
      <c r="E225" s="5"/>
      <c r="F225" s="5"/>
      <c r="G225" s="5"/>
      <c r="H225" s="5"/>
      <c r="I225" s="5"/>
      <c r="J225" s="5"/>
      <c r="K225" s="13"/>
      <c r="L225" s="13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2:30" hidden="1" x14ac:dyDescent="0.2">
      <c r="B226" s="1"/>
      <c r="C226" s="1"/>
      <c r="D226" s="5"/>
      <c r="E226" s="5"/>
      <c r="F226" s="5"/>
      <c r="G226" s="5"/>
      <c r="H226" s="5"/>
      <c r="I226" s="5"/>
      <c r="J226" s="5"/>
      <c r="K226" s="13"/>
      <c r="L226" s="13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2:30" hidden="1" x14ac:dyDescent="0.2">
      <c r="B227" s="1"/>
      <c r="C227" s="1"/>
      <c r="D227" s="5"/>
      <c r="E227" s="5"/>
      <c r="F227" s="5"/>
      <c r="G227" s="5"/>
      <c r="H227" s="5"/>
      <c r="I227" s="5"/>
      <c r="J227" s="5"/>
      <c r="K227" s="13"/>
      <c r="L227" s="13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2:30" hidden="1" x14ac:dyDescent="0.2">
      <c r="B228" s="1"/>
      <c r="C228" s="1"/>
      <c r="D228" s="5"/>
      <c r="E228" s="5"/>
      <c r="F228" s="5"/>
      <c r="G228" s="5"/>
      <c r="H228" s="5"/>
      <c r="I228" s="5"/>
      <c r="J228" s="5"/>
      <c r="K228" s="13"/>
      <c r="L228" s="13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2:30" hidden="1" x14ac:dyDescent="0.2">
      <c r="B229" s="1"/>
      <c r="C229" s="1"/>
      <c r="D229" s="5"/>
      <c r="E229" s="5"/>
      <c r="F229" s="5"/>
      <c r="G229" s="5"/>
      <c r="H229" s="5"/>
      <c r="I229" s="5"/>
      <c r="J229" s="5"/>
      <c r="K229" s="13"/>
      <c r="L229" s="13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2:30" hidden="1" x14ac:dyDescent="0.2">
      <c r="B230" s="1"/>
      <c r="C230" s="1"/>
      <c r="D230" s="5"/>
      <c r="E230" s="5"/>
      <c r="F230" s="5"/>
      <c r="G230" s="5"/>
      <c r="H230" s="5"/>
      <c r="I230" s="5"/>
      <c r="J230" s="5"/>
      <c r="K230" s="13"/>
      <c r="L230" s="13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2:30" hidden="1" x14ac:dyDescent="0.2">
      <c r="B231" s="1"/>
      <c r="C231" s="1"/>
      <c r="D231" s="5"/>
      <c r="E231" s="5"/>
      <c r="F231" s="5"/>
      <c r="G231" s="5"/>
      <c r="H231" s="5"/>
      <c r="I231" s="5"/>
      <c r="J231" s="5"/>
      <c r="K231" s="13"/>
      <c r="L231" s="13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2:30" hidden="1" x14ac:dyDescent="0.2">
      <c r="B232" s="1"/>
      <c r="C232" s="1"/>
      <c r="D232" s="5"/>
      <c r="E232" s="5"/>
      <c r="F232" s="5"/>
      <c r="G232" s="5"/>
      <c r="H232" s="5"/>
      <c r="I232" s="5"/>
      <c r="J232" s="5"/>
      <c r="K232" s="13"/>
      <c r="L232" s="13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2:30" hidden="1" x14ac:dyDescent="0.2">
      <c r="B233" s="1"/>
      <c r="C233" s="1"/>
      <c r="D233" s="5"/>
      <c r="E233" s="5"/>
      <c r="F233" s="5"/>
      <c r="G233" s="5"/>
      <c r="H233" s="5"/>
      <c r="I233" s="5"/>
      <c r="J233" s="5"/>
      <c r="K233" s="13"/>
      <c r="L233" s="13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2:30" hidden="1" x14ac:dyDescent="0.2">
      <c r="B234" s="1"/>
      <c r="C234" s="1"/>
      <c r="D234" s="5"/>
      <c r="E234" s="5"/>
      <c r="F234" s="5"/>
      <c r="G234" s="5"/>
      <c r="H234" s="5"/>
      <c r="I234" s="5"/>
      <c r="J234" s="5"/>
      <c r="K234" s="13"/>
      <c r="L234" s="13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2:30" hidden="1" x14ac:dyDescent="0.2">
      <c r="B235" s="1"/>
      <c r="C235" s="1"/>
      <c r="D235" s="5"/>
      <c r="E235" s="5"/>
      <c r="F235" s="5"/>
      <c r="G235" s="5"/>
      <c r="H235" s="5"/>
      <c r="I235" s="5"/>
      <c r="J235" s="5"/>
      <c r="K235" s="13"/>
      <c r="L235" s="13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2:30" hidden="1" x14ac:dyDescent="0.2">
      <c r="B236" s="1"/>
      <c r="C236" s="1"/>
      <c r="D236" s="5"/>
      <c r="E236" s="5"/>
      <c r="F236" s="5"/>
      <c r="G236" s="5"/>
      <c r="H236" s="5"/>
      <c r="I236" s="5"/>
      <c r="J236" s="5"/>
      <c r="K236" s="13"/>
      <c r="L236" s="13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2:30" hidden="1" x14ac:dyDescent="0.2">
      <c r="B237" s="1"/>
      <c r="C237" s="1"/>
      <c r="D237" s="5"/>
      <c r="E237" s="5"/>
      <c r="F237" s="5"/>
      <c r="G237" s="5"/>
      <c r="H237" s="5"/>
      <c r="I237" s="5"/>
      <c r="J237" s="5"/>
      <c r="K237" s="13"/>
      <c r="L237" s="13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2:30" hidden="1" x14ac:dyDescent="0.2">
      <c r="B238" s="1"/>
      <c r="C238" s="1"/>
      <c r="D238" s="5"/>
      <c r="E238" s="5"/>
      <c r="F238" s="5"/>
      <c r="G238" s="5"/>
      <c r="H238" s="5"/>
      <c r="I238" s="5"/>
      <c r="J238" s="5"/>
      <c r="K238" s="13"/>
      <c r="L238" s="13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2:30" hidden="1" x14ac:dyDescent="0.2">
      <c r="B239" s="1"/>
      <c r="C239" s="1"/>
      <c r="D239" s="5"/>
      <c r="E239" s="5"/>
      <c r="F239" s="5"/>
      <c r="G239" s="5"/>
      <c r="H239" s="5"/>
      <c r="I239" s="5"/>
      <c r="J239" s="5"/>
      <c r="K239" s="13"/>
      <c r="L239" s="13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2:30" hidden="1" x14ac:dyDescent="0.2">
      <c r="B240" s="1"/>
      <c r="C240" s="1"/>
      <c r="D240" s="5"/>
      <c r="E240" s="5"/>
      <c r="F240" s="5"/>
      <c r="G240" s="5"/>
      <c r="H240" s="5"/>
      <c r="I240" s="5"/>
      <c r="J240" s="5"/>
      <c r="K240" s="13"/>
      <c r="L240" s="13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2:30" hidden="1" x14ac:dyDescent="0.2">
      <c r="B241" s="1"/>
      <c r="C241" s="1"/>
      <c r="D241" s="5"/>
      <c r="E241" s="5"/>
      <c r="F241" s="5"/>
      <c r="G241" s="5"/>
      <c r="H241" s="5"/>
      <c r="I241" s="5"/>
      <c r="J241" s="5"/>
      <c r="K241" s="13"/>
      <c r="L241" s="13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2:30" hidden="1" x14ac:dyDescent="0.2">
      <c r="B242" s="1"/>
      <c r="C242" s="1"/>
      <c r="D242" s="5"/>
      <c r="E242" s="5"/>
      <c r="F242" s="5"/>
      <c r="G242" s="5"/>
      <c r="H242" s="5"/>
      <c r="I242" s="5"/>
      <c r="J242" s="5"/>
      <c r="K242" s="13"/>
      <c r="L242" s="13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2:30" hidden="1" x14ac:dyDescent="0.2">
      <c r="B243" s="1"/>
      <c r="C243" s="1"/>
      <c r="D243" s="5"/>
      <c r="E243" s="5"/>
      <c r="F243" s="5"/>
      <c r="G243" s="5"/>
      <c r="H243" s="5"/>
      <c r="I243" s="5"/>
      <c r="J243" s="5"/>
      <c r="K243" s="13"/>
      <c r="L243" s="13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2:30" hidden="1" x14ac:dyDescent="0.2">
      <c r="B244" s="1"/>
      <c r="C244" s="1"/>
      <c r="D244" s="5"/>
      <c r="E244" s="5"/>
      <c r="F244" s="5"/>
      <c r="G244" s="5"/>
      <c r="H244" s="5"/>
      <c r="I244" s="5"/>
      <c r="J244" s="5"/>
      <c r="K244" s="13"/>
      <c r="L244" s="13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2:30" hidden="1" x14ac:dyDescent="0.2">
      <c r="B245" s="1"/>
      <c r="C245" s="1"/>
      <c r="D245" s="5"/>
      <c r="E245" s="5"/>
      <c r="F245" s="5"/>
      <c r="G245" s="5"/>
      <c r="H245" s="5"/>
      <c r="I245" s="5"/>
      <c r="J245" s="5"/>
      <c r="K245" s="13"/>
      <c r="L245" s="13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2:30" hidden="1" x14ac:dyDescent="0.2">
      <c r="B246" s="1"/>
      <c r="C246" s="1"/>
      <c r="D246" s="5"/>
      <c r="E246" s="5"/>
      <c r="F246" s="5"/>
      <c r="G246" s="5"/>
      <c r="H246" s="5"/>
      <c r="I246" s="5"/>
      <c r="J246" s="5"/>
      <c r="K246" s="13"/>
      <c r="L246" s="13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2:30" hidden="1" x14ac:dyDescent="0.2">
      <c r="B247" s="1"/>
      <c r="C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2:30" hidden="1" x14ac:dyDescent="0.2">
      <c r="B248" s="1"/>
      <c r="C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2:30" hidden="1" x14ac:dyDescent="0.2">
      <c r="B249" s="1"/>
      <c r="C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2:30" hidden="1" x14ac:dyDescent="0.2">
      <c r="B250" s="1"/>
      <c r="C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2:30" hidden="1" x14ac:dyDescent="0.2">
      <c r="B251" s="1"/>
      <c r="C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2:30" hidden="1" x14ac:dyDescent="0.2">
      <c r="B252" s="1"/>
      <c r="C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2:30" hidden="1" x14ac:dyDescent="0.2">
      <c r="B253" s="1"/>
      <c r="C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2:30" hidden="1" x14ac:dyDescent="0.2">
      <c r="B254" s="1"/>
      <c r="C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2:30" hidden="1" x14ac:dyDescent="0.2">
      <c r="B255" s="1"/>
      <c r="C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2:30" hidden="1" x14ac:dyDescent="0.2">
      <c r="B256" s="1"/>
      <c r="C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2:30" hidden="1" x14ac:dyDescent="0.2">
      <c r="B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2:30" hidden="1" x14ac:dyDescent="0.2">
      <c r="B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2:30" hidden="1" x14ac:dyDescent="0.2">
      <c r="B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2:30" hidden="1" x14ac:dyDescent="0.2">
      <c r="B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2:30" hidden="1" x14ac:dyDescent="0.2">
      <c r="B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2:30" hidden="1" x14ac:dyDescent="0.2">
      <c r="B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2:30" hidden="1" x14ac:dyDescent="0.2">
      <c r="B263" s="1"/>
      <c r="D263" s="5"/>
      <c r="E263" s="5"/>
      <c r="F263" s="5"/>
      <c r="G263" s="5"/>
      <c r="H263" s="5"/>
      <c r="I263" s="5"/>
      <c r="J263" s="5"/>
      <c r="K263" s="13"/>
      <c r="L263" s="13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2:30" hidden="1" x14ac:dyDescent="0.2">
      <c r="B264" s="1"/>
      <c r="D264" s="5"/>
      <c r="E264" s="5"/>
      <c r="F264" s="5"/>
      <c r="G264" s="5"/>
      <c r="H264" s="5"/>
      <c r="I264" s="5"/>
      <c r="J264" s="5"/>
      <c r="K264" s="13"/>
      <c r="L264" s="13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2:30" hidden="1" x14ac:dyDescent="0.2">
      <c r="B265" s="1"/>
      <c r="C265" s="5"/>
      <c r="D265" s="5"/>
      <c r="E265" s="5"/>
      <c r="F265" s="5"/>
      <c r="G265" s="5"/>
      <c r="H265" s="5"/>
      <c r="I265" s="5"/>
      <c r="J265" s="5"/>
      <c r="K265" s="13"/>
      <c r="L265" s="13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2:30" hidden="1" x14ac:dyDescent="0.2">
      <c r="B266" s="1"/>
      <c r="C266" s="5"/>
      <c r="D266" s="5"/>
      <c r="E266" s="5"/>
      <c r="F266" s="5"/>
      <c r="G266" s="5"/>
      <c r="H266" s="5"/>
      <c r="I266" s="5"/>
      <c r="J266" s="5"/>
      <c r="K266" s="13"/>
      <c r="L266" s="13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2:30" hidden="1" x14ac:dyDescent="0.2">
      <c r="B267" s="1"/>
      <c r="C267" s="5"/>
      <c r="D267" s="5"/>
      <c r="E267" s="5"/>
      <c r="F267" s="5"/>
      <c r="G267" s="5"/>
      <c r="H267" s="5"/>
      <c r="I267" s="5"/>
      <c r="J267" s="5"/>
      <c r="K267" s="13"/>
      <c r="L267" s="13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2:30" hidden="1" x14ac:dyDescent="0.2">
      <c r="B268" s="1"/>
      <c r="C268" s="5"/>
      <c r="D268" s="5"/>
      <c r="E268" s="5"/>
      <c r="F268" s="5"/>
      <c r="G268" s="5"/>
      <c r="H268" s="5"/>
      <c r="I268" s="5"/>
      <c r="J268" s="5"/>
      <c r="K268" s="13"/>
      <c r="L268" s="13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2:30" hidden="1" x14ac:dyDescent="0.2">
      <c r="B269" s="1"/>
      <c r="C269" s="5"/>
      <c r="D269" s="5"/>
      <c r="E269" s="5"/>
      <c r="F269" s="5"/>
      <c r="G269" s="5"/>
      <c r="H269" s="5"/>
      <c r="I269" s="5"/>
      <c r="J269" s="5"/>
      <c r="K269" s="13"/>
      <c r="L269" s="13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2:30" hidden="1" x14ac:dyDescent="0.2">
      <c r="B270" s="1"/>
      <c r="C270" s="5"/>
      <c r="D270" s="5"/>
      <c r="E270" s="5"/>
      <c r="F270" s="5"/>
      <c r="G270" s="5"/>
      <c r="H270" s="5"/>
      <c r="I270" s="5"/>
      <c r="J270" s="5"/>
      <c r="K270" s="13"/>
      <c r="L270" s="13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2:30" hidden="1" x14ac:dyDescent="0.2">
      <c r="B271" s="1"/>
      <c r="C271" s="5"/>
      <c r="D271" s="5"/>
      <c r="E271" s="5"/>
      <c r="F271" s="5"/>
      <c r="G271" s="5"/>
      <c r="H271" s="5"/>
      <c r="I271" s="5"/>
      <c r="J271" s="5"/>
      <c r="K271" s="13"/>
      <c r="L271" s="13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2:30" hidden="1" x14ac:dyDescent="0.2">
      <c r="B272" s="1"/>
      <c r="M272" s="5"/>
    </row>
  </sheetData>
  <sheetProtection password="BF33" sheet="1" objects="1" scenarios="1"/>
  <mergeCells count="3">
    <mergeCell ref="G8:H8"/>
    <mergeCell ref="J8:K8"/>
    <mergeCell ref="M8:V8"/>
  </mergeCells>
  <conditionalFormatting sqref="C11:K50">
    <cfRule type="expression" dxfId="0" priority="1">
      <formula>IF(B11="",0,IF(MOD(ROW(),2)=1,1,0))</formula>
    </cfRule>
  </conditionalFormatting>
  <dataValidations count="5">
    <dataValidation type="list" allowBlank="1" showInputMessage="1" showErrorMessage="1" sqref="D6">
      <formula1>$AB$4:$AB$8</formula1>
    </dataValidation>
    <dataValidation type="list" allowBlank="1" showInputMessage="1" showErrorMessage="1" sqref="H6">
      <formula1>$AD$4:$AD$8</formula1>
    </dataValidation>
    <dataValidation type="list" allowBlank="1" showInputMessage="1" showErrorMessage="1" sqref="F6">
      <formula1>$AC$4:$AC$7</formula1>
    </dataValidation>
    <dataValidation type="list" allowBlank="1" showInputMessage="1" showErrorMessage="1" sqref="J6">
      <formula1>$AE$4:$AE$10</formula1>
    </dataValidation>
    <dataValidation type="list" allowBlank="1" showInputMessage="1" showErrorMessage="1" sqref="AB9">
      <formula1>$AA$4:$AA$5</formula1>
    </dataValidation>
  </dataValidations>
  <printOptions horizontalCentered="1"/>
  <pageMargins left="0.25" right="0.25" top="0.75" bottom="0.75" header="0.75" footer="0.75"/>
  <pageSetup scale="85" orientation="landscape" r:id="rId1"/>
  <headerFooter>
    <oddFooter>&amp;L&amp;8&amp;F&amp;C&amp;8Page &amp;P&amp;R&amp;8&amp;D</oddFooter>
  </headerFooter>
  <ignoredErrors>
    <ignoredError sqref="B8:B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BACKGROUND</vt:lpstr>
      <vt:lpstr>LLP_EXPOSURE</vt:lpstr>
      <vt:lpstr>Annual_FC</vt:lpstr>
      <vt:lpstr>Escalation</vt:lpstr>
      <vt:lpstr>LLP_Limiter</vt:lpstr>
      <vt:lpstr>BACKGROUND!Print_Area</vt:lpstr>
      <vt:lpstr>LLP_EXPOSURE!Print_Area</vt:lpstr>
      <vt:lpstr>Stack_Cost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sackert</dc:creator>
  <cp:lastModifiedBy>Shannon Ackert</cp:lastModifiedBy>
  <cp:lastPrinted>2013-02-09T01:28:42Z</cp:lastPrinted>
  <dcterms:created xsi:type="dcterms:W3CDTF">2010-09-20T17:28:01Z</dcterms:created>
  <dcterms:modified xsi:type="dcterms:W3CDTF">2013-02-09T17:12:20Z</dcterms:modified>
</cp:coreProperties>
</file>