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755" windowWidth="13290" windowHeight="6510" tabRatio="871" firstSheet="2" activeTab="3"/>
  </bookViews>
  <sheets>
    <sheet name="SOURCE" sheetId="12" state="hidden" r:id="rId1"/>
    <sheet name="Mtx COSTS &amp; INTERVALS" sheetId="20" state="hidden" r:id="rId2"/>
    <sheet name="TUTORIAL" sheetId="24" r:id="rId3"/>
    <sheet name="Mx FORECAST" sheetId="3" r:id="rId4"/>
    <sheet name="Mx DEFINITIONS" sheetId="21" state="hidden" r:id="rId5"/>
    <sheet name="PSW_Sheet" sheetId="4" state="veryHidden" r:id="rId6"/>
  </sheets>
  <externalReferences>
    <externalReference r:id="rId7"/>
  </externalReferences>
  <definedNames>
    <definedName name="_xlnm.Print_Area" localSheetId="1">'Mtx COSTS &amp; INTERVALS'!$A$1:$N$60</definedName>
    <definedName name="_xlnm.Print_Area" localSheetId="4">'Mx DEFINITIONS'!$A$1:$D$60</definedName>
    <definedName name="_xlnm.Print_Area" localSheetId="3">'Mx FORECAST'!$A$1:$Z$260</definedName>
    <definedName name="_xlnm.Print_Area" localSheetId="2">TUTORIAL!$A$1:$P$127</definedName>
    <definedName name="_xlnm.Print_Titles" localSheetId="3">'Mx FORECAST'!$61:$66</definedName>
    <definedName name="PSWFormInput_0" hidden="1">Mx [1]FORECAST!$JK$39</definedName>
    <definedName name="PSWInput_0_0" hidden="1">'Mx FORECAST'!$FU$29</definedName>
    <definedName name="PSWInput_0_1" hidden="1">'Mx FORECAST'!$FW$29</definedName>
    <definedName name="PSWInput_0_2" hidden="1">'Mx FORECAST'!$O$7</definedName>
    <definedName name="PSWInput_0_3" hidden="1">'Mx FORECAST'!$Q$7</definedName>
    <definedName name="PSWInput_0_4" hidden="1">'Mx FORECAST'!$S$7</definedName>
    <definedName name="PSWInput_0_5" hidden="1">'Mx FORECAST'!$U$7</definedName>
    <definedName name="PSWInput_0_6" hidden="1">'Mx FORECAST'!$FW$23</definedName>
    <definedName name="PSWList_0_0" hidden="1">'Mx FORECAST'!#REF!</definedName>
    <definedName name="PSWList_0_1" hidden="1">'Mx FORECAST'!#REF!</definedName>
    <definedName name="PSWList_0_2" hidden="1">'Mx FORECAST'!$AE$8:$AE$48</definedName>
    <definedName name="PSWList_0_3" hidden="1">'Mx FORECAST'!#REF!</definedName>
    <definedName name="PSWList_0_4" hidden="1">'Mx FORECAST'!#REF!</definedName>
    <definedName name="PSWList_0_5" hidden="1">'Mx FORECAST'!#REF!</definedName>
    <definedName name="PSWList_0_6" hidden="1">'Mx FORECAST'!#REF!</definedName>
    <definedName name="PSWOutput_0" hidden="1">'Mx FORECAST'!$C$3:$Y$24</definedName>
    <definedName name="PSWSeries_0_0_Labels" hidden="1">'Mx FORECAST'!$DM$6:$DM$246</definedName>
    <definedName name="PSWSeries_0_0_Values" hidden="1">'Mx FORECAST'!$GE$5:$GE$245</definedName>
    <definedName name="PSWSeries_0_1_Values" hidden="1">'Mx FORECAST'!$GD$5:$GD$245</definedName>
    <definedName name="PSWSeries_1_0_Labels" hidden="1">'Mx FORECAST'!$DM$6:$DM$246</definedName>
    <definedName name="PSWSeries_1_0_Values" hidden="1">'Mx FORECAST'!#REF!</definedName>
    <definedName name="PSWSeries_2_0_Labels" hidden="1">'Mx FORECAST'!$DM$6:$DM$246</definedName>
    <definedName name="PSWSeries_2_0_Values" hidden="1">'Mx FORECAST'!#REF!</definedName>
    <definedName name="PSWSeries_3_0_Labels" hidden="1">'Mx FORECAST'!#REF!</definedName>
    <definedName name="PSWSeries_3_0_Values" hidden="1">'Mx FORECAST'!#REF!</definedName>
    <definedName name="PSWSeries_4_0_Labels" hidden="1">'Mx FORECAST'!#REF!</definedName>
    <definedName name="PSWSeries_4_0_Values" hidden="1">'Mx FORECAST'!#REF!</definedName>
    <definedName name="PSWSeries_4_1_Labels" hidden="1">'Mx FORECAST'!#REF!</definedName>
    <definedName name="PSWSeries_4_1_Values" hidden="1">'Mx FORECAST'!#REF!</definedName>
    <definedName name="SpreadsheetWEBApplicationId" hidden="1">PSW_Sheet!$F$1</definedName>
    <definedName name="SpreadsheetWEBDataID" hidden="1">PSW_Sheet!$G$1</definedName>
    <definedName name="SpreadsheetWEBInternalConnection" hidden="1">PSW_Sheet!$C$1</definedName>
    <definedName name="SpreadsheetWEBUserName" hidden="1">PSW_Sheet!$D$1</definedName>
    <definedName name="SpreadsheetWEBUserRole" hidden="1">PSW_Sheet!$E$1</definedName>
  </definedNames>
  <calcPr calcId="145621" calcOnSave="0"/>
</workbook>
</file>

<file path=xl/calcChain.xml><?xml version="1.0" encoding="utf-8"?>
<calcChain xmlns="http://schemas.openxmlformats.org/spreadsheetml/2006/main">
  <c r="AB8" i="3" l="1"/>
  <c r="AB9" i="3"/>
  <c r="AB10" i="3"/>
  <c r="AB11" i="3" s="1"/>
  <c r="AB12" i="3" s="1"/>
  <c r="AB7" i="3"/>
  <c r="H12" i="12" l="1"/>
  <c r="BC30" i="12"/>
  <c r="D44" i="12" l="1"/>
  <c r="I44" i="12"/>
  <c r="K44" i="12"/>
  <c r="L44" i="12"/>
  <c r="D45" i="12"/>
  <c r="I45" i="12"/>
  <c r="K45" i="12"/>
  <c r="L45" i="12"/>
  <c r="FY5" i="3" l="1"/>
  <c r="BB24" i="12" l="1"/>
  <c r="BC24" i="12"/>
  <c r="BB25" i="12"/>
  <c r="BC25" i="12"/>
  <c r="BB26" i="12"/>
  <c r="BC26" i="12"/>
  <c r="BB27" i="12"/>
  <c r="BC27" i="12"/>
  <c r="BB28" i="12"/>
  <c r="BC28" i="12"/>
  <c r="BB29" i="12"/>
  <c r="BC29" i="12"/>
  <c r="BC23" i="12"/>
  <c r="BB23" i="12"/>
  <c r="BA24" i="12"/>
  <c r="BA25" i="12"/>
  <c r="BA26" i="12"/>
  <c r="BA27" i="12"/>
  <c r="BA28" i="12"/>
  <c r="BA29" i="12"/>
  <c r="BA23" i="12"/>
  <c r="BE29" i="12"/>
  <c r="BE28" i="12"/>
  <c r="BE27" i="12"/>
  <c r="BE26" i="12"/>
  <c r="BE25" i="12"/>
  <c r="BE24" i="12"/>
  <c r="BE23" i="12"/>
  <c r="BE22" i="12"/>
  <c r="BE21" i="12"/>
  <c r="BE20" i="12"/>
  <c r="BE19" i="12"/>
  <c r="BE17" i="12"/>
  <c r="BE16" i="12"/>
  <c r="BE15" i="12"/>
  <c r="BE14" i="12"/>
  <c r="BE13" i="12"/>
  <c r="BE11" i="12"/>
  <c r="BE10" i="12"/>
  <c r="BE9" i="12"/>
  <c r="BE7" i="12"/>
  <c r="BE6" i="12"/>
  <c r="AZ29" i="12"/>
  <c r="AZ28" i="12"/>
  <c r="AZ27" i="12"/>
  <c r="AZ26" i="12"/>
  <c r="AZ25" i="12"/>
  <c r="AZ24" i="12"/>
  <c r="AZ23" i="12"/>
  <c r="AZ22" i="12"/>
  <c r="AZ21" i="12"/>
  <c r="AZ20" i="12"/>
  <c r="AZ19" i="12"/>
  <c r="AZ18" i="12"/>
  <c r="AZ16" i="12"/>
  <c r="AZ15" i="12"/>
  <c r="AZ14" i="12"/>
  <c r="AZ12" i="12"/>
  <c r="AZ11" i="12"/>
  <c r="AZ10" i="12"/>
  <c r="AZ9" i="12"/>
  <c r="AZ7" i="12"/>
  <c r="AZ6" i="12"/>
  <c r="BY16" i="12"/>
  <c r="BY17" i="12" s="1"/>
  <c r="BY18" i="12" s="1"/>
  <c r="BY19" i="12" s="1"/>
  <c r="BY20" i="12" s="1"/>
  <c r="BY21" i="12" s="1"/>
  <c r="BY22" i="12" s="1"/>
  <c r="BY23" i="12" s="1"/>
  <c r="BY24" i="12" s="1"/>
  <c r="BY25" i="12" s="1"/>
  <c r="BZ14" i="12"/>
  <c r="BY14" i="12"/>
  <c r="BZ13" i="12"/>
  <c r="BZ12" i="12" s="1"/>
  <c r="BZ11" i="12" s="1"/>
  <c r="BZ10" i="12" s="1"/>
  <c r="BZ9" i="12" s="1"/>
  <c r="BZ8" i="12" s="1"/>
  <c r="BZ7" i="12" s="1"/>
  <c r="BZ6" i="12" s="1"/>
  <c r="BZ5" i="12" s="1"/>
  <c r="BY13" i="12"/>
  <c r="BY12" i="12" s="1"/>
  <c r="BY11" i="12" s="1"/>
  <c r="BY10" i="12" s="1"/>
  <c r="BY9" i="12" s="1"/>
  <c r="BY8" i="12" s="1"/>
  <c r="BY7" i="12" s="1"/>
  <c r="BY6" i="12" s="1"/>
  <c r="BY5" i="12" s="1"/>
  <c r="BC6" i="3" l="1"/>
  <c r="BB6" i="3"/>
  <c r="BC7" i="3" l="1"/>
  <c r="BC8" i="3"/>
  <c r="BC9" i="3"/>
  <c r="BC10" i="3"/>
  <c r="BC11" i="3"/>
  <c r="BC12" i="3"/>
  <c r="BC13" i="3"/>
  <c r="BC14" i="3"/>
  <c r="BC15" i="3"/>
  <c r="BC16" i="3"/>
  <c r="BC17" i="3"/>
  <c r="BC18" i="3"/>
  <c r="BC19" i="3"/>
  <c r="BC20" i="3"/>
  <c r="BC21" i="3"/>
  <c r="BC22" i="3"/>
  <c r="BC23" i="3"/>
  <c r="BC24" i="3"/>
  <c r="BC25" i="3"/>
  <c r="BC26" i="3"/>
  <c r="BC27" i="3"/>
  <c r="BC28" i="3"/>
  <c r="BC29" i="3"/>
  <c r="BC30" i="3"/>
  <c r="BB7" i="3"/>
  <c r="BB8" i="3"/>
  <c r="BB9" i="3"/>
  <c r="BB10" i="3"/>
  <c r="BB11" i="3"/>
  <c r="BB12" i="3"/>
  <c r="BB13" i="3"/>
  <c r="BB14" i="3"/>
  <c r="BB15" i="3"/>
  <c r="BB16" i="3"/>
  <c r="BB17" i="3"/>
  <c r="BB18" i="3"/>
  <c r="BB19" i="3"/>
  <c r="BB20" i="3"/>
  <c r="BB21" i="3"/>
  <c r="BB22" i="3"/>
  <c r="BB23" i="3"/>
  <c r="BB24" i="3"/>
  <c r="BB25" i="3"/>
  <c r="BB26" i="3"/>
  <c r="BB27" i="3"/>
  <c r="BB28" i="3"/>
  <c r="BB29" i="3"/>
  <c r="BB30" i="3"/>
  <c r="AQ37" i="3" l="1"/>
  <c r="AQ38" i="3"/>
  <c r="AQ39" i="3"/>
  <c r="AQ40" i="3"/>
  <c r="AQ41" i="3"/>
  <c r="AQ42" i="3"/>
  <c r="AQ43" i="3"/>
  <c r="AQ44" i="3"/>
  <c r="AQ45" i="3"/>
  <c r="AQ46" i="3"/>
  <c r="AQ7" i="3" l="1"/>
  <c r="AQ8" i="3"/>
  <c r="AQ9" i="3"/>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6" i="3"/>
  <c r="AH16" i="3"/>
  <c r="H39" i="12" l="1"/>
  <c r="L39" i="12" s="1"/>
  <c r="K12" i="12"/>
  <c r="H21" i="12"/>
  <c r="K21" i="12" s="1"/>
  <c r="H30" i="12"/>
  <c r="L30" i="12" s="1"/>
  <c r="M27" i="12"/>
  <c r="N27" i="12" s="1"/>
  <c r="DE9" i="3"/>
  <c r="DE8" i="3"/>
  <c r="DE19" i="3" s="1"/>
  <c r="D39" i="12"/>
  <c r="D38" i="12"/>
  <c r="D30" i="12"/>
  <c r="D29" i="12"/>
  <c r="D12" i="12"/>
  <c r="D11" i="12"/>
  <c r="D21" i="12"/>
  <c r="D20" i="12"/>
  <c r="I33" i="12"/>
  <c r="I36" i="12"/>
  <c r="I37" i="12"/>
  <c r="I32" i="12"/>
  <c r="I28" i="12"/>
  <c r="I27" i="12"/>
  <c r="I24" i="12"/>
  <c r="I23" i="12"/>
  <c r="I19" i="12"/>
  <c r="I18" i="12"/>
  <c r="I15" i="12"/>
  <c r="I14" i="12"/>
  <c r="I9" i="12"/>
  <c r="I10" i="12"/>
  <c r="I5" i="12"/>
  <c r="I6" i="12"/>
  <c r="HJ44" i="3"/>
  <c r="HK44" i="3"/>
  <c r="HL44" i="3"/>
  <c r="HM44" i="3"/>
  <c r="HD44" i="3"/>
  <c r="HA44" i="3"/>
  <c r="EC5" i="3"/>
  <c r="EF5" i="3"/>
  <c r="DC19" i="3"/>
  <c r="DI9" i="3"/>
  <c r="GS16" i="3" s="1"/>
  <c r="DI8" i="3"/>
  <c r="DI19" i="3" s="1"/>
  <c r="DE7" i="3"/>
  <c r="D16" i="12"/>
  <c r="D17" i="12"/>
  <c r="D25" i="12"/>
  <c r="D26" i="12"/>
  <c r="D34" i="12"/>
  <c r="D35" i="12"/>
  <c r="D7" i="12"/>
  <c r="D8" i="12"/>
  <c r="H34" i="12"/>
  <c r="I34" i="12" s="1"/>
  <c r="H25" i="12"/>
  <c r="H26" i="12" s="1"/>
  <c r="H16" i="12"/>
  <c r="I16" i="12" s="1"/>
  <c r="H7" i="12"/>
  <c r="M7" i="12" s="1"/>
  <c r="M10" i="12"/>
  <c r="Q10" i="12" s="1"/>
  <c r="L10" i="12"/>
  <c r="K10" i="12"/>
  <c r="D10" i="12"/>
  <c r="M9" i="12"/>
  <c r="Q9" i="12" s="1"/>
  <c r="L9" i="12"/>
  <c r="K9" i="12"/>
  <c r="D9" i="12"/>
  <c r="M37" i="12"/>
  <c r="M39" i="12" s="1"/>
  <c r="Q39" i="12" s="1"/>
  <c r="L37" i="12"/>
  <c r="K37" i="12"/>
  <c r="D37" i="12"/>
  <c r="M36" i="12"/>
  <c r="P36" i="12" s="1"/>
  <c r="L36" i="12"/>
  <c r="K36" i="12"/>
  <c r="D36" i="12"/>
  <c r="M28" i="12"/>
  <c r="N28" i="12" s="1"/>
  <c r="L28" i="12"/>
  <c r="K28" i="12"/>
  <c r="D28" i="12"/>
  <c r="L27" i="12"/>
  <c r="K27" i="12"/>
  <c r="D27" i="12"/>
  <c r="M19" i="12"/>
  <c r="P19" i="12" s="1"/>
  <c r="L19" i="12"/>
  <c r="K19" i="12"/>
  <c r="D19" i="12"/>
  <c r="M18" i="12"/>
  <c r="L18" i="12"/>
  <c r="K18" i="12"/>
  <c r="D18" i="12"/>
  <c r="N19" i="12" l="1"/>
  <c r="M12" i="12"/>
  <c r="P12" i="12" s="1"/>
  <c r="H38" i="12"/>
  <c r="L38" i="12" s="1"/>
  <c r="N10" i="12"/>
  <c r="Q36" i="12"/>
  <c r="H11" i="12"/>
  <c r="K11" i="12" s="1"/>
  <c r="H8" i="12"/>
  <c r="N36" i="12"/>
  <c r="Q19" i="12"/>
  <c r="H35" i="12"/>
  <c r="M35" i="12" s="1"/>
  <c r="N35" i="12" s="1"/>
  <c r="I7" i="12"/>
  <c r="M21" i="12"/>
  <c r="Q21" i="12" s="1"/>
  <c r="P27" i="12"/>
  <c r="I30" i="12"/>
  <c r="K30" i="12"/>
  <c r="M11" i="12"/>
  <c r="N7" i="12"/>
  <c r="I26" i="12"/>
  <c r="M26" i="12"/>
  <c r="N26" i="12" s="1"/>
  <c r="M16" i="12"/>
  <c r="N16" i="12" s="1"/>
  <c r="P18" i="12"/>
  <c r="P28" i="12"/>
  <c r="P37" i="12"/>
  <c r="H20" i="12"/>
  <c r="Q18" i="12"/>
  <c r="Q28" i="12"/>
  <c r="Q37" i="12"/>
  <c r="M34" i="12"/>
  <c r="H17" i="12"/>
  <c r="I25" i="12"/>
  <c r="N9" i="12"/>
  <c r="N37" i="12"/>
  <c r="I21" i="12"/>
  <c r="I12" i="12"/>
  <c r="I39" i="12"/>
  <c r="N18" i="12"/>
  <c r="M30" i="12"/>
  <c r="Q30" i="12" s="1"/>
  <c r="M25" i="12"/>
  <c r="N25" i="12" s="1"/>
  <c r="H29" i="12"/>
  <c r="I29" i="12" s="1"/>
  <c r="L21" i="12"/>
  <c r="L12" i="12"/>
  <c r="K39" i="12"/>
  <c r="Q11" i="12"/>
  <c r="Q12" i="12"/>
  <c r="Q27" i="12"/>
  <c r="N39" i="12"/>
  <c r="P39" i="12"/>
  <c r="N11" i="12"/>
  <c r="N12" i="12"/>
  <c r="P11" i="12"/>
  <c r="N21" i="12"/>
  <c r="P21" i="12"/>
  <c r="GS14" i="3"/>
  <c r="P9" i="12"/>
  <c r="P10" i="12"/>
  <c r="FM7" i="3"/>
  <c r="FM8" i="3"/>
  <c r="FM9" i="3"/>
  <c r="FM10" i="3"/>
  <c r="FM11" i="3"/>
  <c r="FM12" i="3"/>
  <c r="FM13" i="3"/>
  <c r="FM6" i="3"/>
  <c r="FQ16" i="3"/>
  <c r="FP16" i="3"/>
  <c r="FO16" i="3"/>
  <c r="FN16" i="3"/>
  <c r="FM16" i="3"/>
  <c r="FP15" i="3"/>
  <c r="FM15" i="3" s="1"/>
  <c r="FN15" i="3"/>
  <c r="FP14" i="3"/>
  <c r="FM14" i="3" s="1"/>
  <c r="FN14" i="3"/>
  <c r="FN13" i="3"/>
  <c r="FN12" i="3"/>
  <c r="FN11" i="3"/>
  <c r="FN10" i="3"/>
  <c r="K38" i="12" l="1"/>
  <c r="P30" i="12"/>
  <c r="I38" i="12"/>
  <c r="I35" i="12"/>
  <c r="M8" i="12"/>
  <c r="N8" i="12" s="1"/>
  <c r="I8" i="12"/>
  <c r="L11" i="12"/>
  <c r="I11" i="12"/>
  <c r="I17" i="12"/>
  <c r="M17" i="12"/>
  <c r="N17" i="12" s="1"/>
  <c r="N34" i="12"/>
  <c r="M38" i="12"/>
  <c r="I20" i="12"/>
  <c r="K20" i="12"/>
  <c r="N30" i="12"/>
  <c r="K29" i="12"/>
  <c r="L29" i="12"/>
  <c r="L20" i="12"/>
  <c r="M29" i="12"/>
  <c r="M20" i="12"/>
  <c r="BG31" i="12"/>
  <c r="BH30" i="12"/>
  <c r="BG30" i="12"/>
  <c r="BF30" i="12"/>
  <c r="BI29" i="12"/>
  <c r="BI28" i="12"/>
  <c r="BI27" i="12"/>
  <c r="BI26" i="12"/>
  <c r="BI25" i="12"/>
  <c r="BI24" i="12"/>
  <c r="BI23" i="12"/>
  <c r="BI22" i="12"/>
  <c r="BI21" i="12"/>
  <c r="BI20" i="12"/>
  <c r="BI19" i="12"/>
  <c r="BI18" i="12"/>
  <c r="BI17" i="12"/>
  <c r="BI16" i="12"/>
  <c r="BI15" i="12"/>
  <c r="BI14" i="12"/>
  <c r="BI13" i="12"/>
  <c r="BI12" i="12"/>
  <c r="BI11" i="12"/>
  <c r="BI10" i="12"/>
  <c r="BI9" i="12"/>
  <c r="BI8" i="12"/>
  <c r="BI7" i="12"/>
  <c r="BI6" i="12"/>
  <c r="BI5" i="12"/>
  <c r="Q38" i="12" l="1"/>
  <c r="P38" i="12"/>
  <c r="N38" i="12"/>
  <c r="Q29" i="12"/>
  <c r="N29" i="12"/>
  <c r="P29" i="12"/>
  <c r="BI30" i="12"/>
  <c r="Q20" i="12"/>
  <c r="N20" i="12"/>
  <c r="P20" i="12"/>
  <c r="AO47" i="12"/>
  <c r="AO44" i="12"/>
  <c r="AO41" i="12"/>
  <c r="AO38" i="12"/>
  <c r="AO35" i="12"/>
  <c r="AO32" i="12"/>
  <c r="AO29" i="12"/>
  <c r="AQ48" i="12"/>
  <c r="AR48" i="12" s="1"/>
  <c r="AQ47" i="12"/>
  <c r="AR47" i="12" s="1"/>
  <c r="AQ45" i="12"/>
  <c r="AR45" i="12" s="1"/>
  <c r="AQ44" i="12"/>
  <c r="AR44" i="12" s="1"/>
  <c r="AQ42" i="12"/>
  <c r="AQ41" i="12"/>
  <c r="AR41" i="12" s="1"/>
  <c r="AQ39" i="12"/>
  <c r="AR39" i="12" s="1"/>
  <c r="AQ38" i="12"/>
  <c r="AR38" i="12" s="1"/>
  <c r="AQ36" i="12"/>
  <c r="AR36" i="12" s="1"/>
  <c r="AQ35" i="12"/>
  <c r="AR35" i="12" s="1"/>
  <c r="AQ33" i="12"/>
  <c r="AR33" i="12" s="1"/>
  <c r="AQ32" i="12"/>
  <c r="AR32" i="12" s="1"/>
  <c r="AQ30" i="12"/>
  <c r="AR30" i="12" s="1"/>
  <c r="AQ29" i="12"/>
  <c r="AR29" i="12" s="1"/>
  <c r="AQ27" i="12"/>
  <c r="AQ26" i="12"/>
  <c r="AQ21" i="12"/>
  <c r="AQ20" i="12"/>
  <c r="AP20" i="12"/>
  <c r="AQ18" i="12"/>
  <c r="AQ17" i="12"/>
  <c r="AP17" i="12"/>
  <c r="AQ15" i="12"/>
  <c r="AQ14" i="12"/>
  <c r="AP14" i="12"/>
  <c r="AQ12" i="12"/>
  <c r="AQ11" i="12"/>
  <c r="AP11" i="12"/>
  <c r="AQ9" i="12"/>
  <c r="AP9" i="12"/>
  <c r="AQ8" i="12"/>
  <c r="AP8" i="12"/>
  <c r="AQ6" i="12"/>
  <c r="AP6" i="12"/>
  <c r="AQ5" i="12"/>
  <c r="AP5" i="12"/>
  <c r="AM48" i="12"/>
  <c r="AO48" i="12" s="1"/>
  <c r="AM45" i="12"/>
  <c r="AO45" i="12" s="1"/>
  <c r="AM42" i="12"/>
  <c r="AO42" i="12" s="1"/>
  <c r="AM39" i="12"/>
  <c r="AO39" i="12" s="1"/>
  <c r="AM36" i="12"/>
  <c r="AO36" i="12" s="1"/>
  <c r="AM33" i="12"/>
  <c r="AO33" i="12" s="1"/>
  <c r="AM30" i="12"/>
  <c r="AO30" i="12" s="1"/>
  <c r="AM21" i="12"/>
  <c r="AP21" i="12" s="1"/>
  <c r="AM18" i="12"/>
  <c r="AM15" i="12"/>
  <c r="AM12" i="12"/>
  <c r="AR16" i="3" l="1"/>
  <c r="AR42" i="12"/>
  <c r="M33" i="12"/>
  <c r="N33" i="12" s="1"/>
  <c r="L33" i="12"/>
  <c r="K33" i="12"/>
  <c r="D33" i="12"/>
  <c r="Q32" i="12"/>
  <c r="P32" i="12"/>
  <c r="N32" i="12"/>
  <c r="L32" i="12"/>
  <c r="K32" i="12"/>
  <c r="D32" i="12"/>
  <c r="M24" i="12"/>
  <c r="N24" i="12" s="1"/>
  <c r="L24" i="12"/>
  <c r="K24" i="12"/>
  <c r="D24" i="12"/>
  <c r="Q23" i="12"/>
  <c r="P23" i="12"/>
  <c r="N23" i="12"/>
  <c r="L23" i="12"/>
  <c r="K23" i="12"/>
  <c r="D23" i="12"/>
  <c r="M15" i="12"/>
  <c r="N15" i="12" s="1"/>
  <c r="L15" i="12"/>
  <c r="K15" i="12"/>
  <c r="D15" i="12"/>
  <c r="Q14" i="12"/>
  <c r="P14" i="12"/>
  <c r="N14" i="12"/>
  <c r="L14" i="12"/>
  <c r="K14" i="12"/>
  <c r="D14" i="12"/>
  <c r="M6" i="12"/>
  <c r="N6" i="12" s="1"/>
  <c r="L6" i="12"/>
  <c r="K6" i="12"/>
  <c r="D6" i="12"/>
  <c r="Q5" i="12"/>
  <c r="P5" i="12"/>
  <c r="N5" i="12"/>
  <c r="L5" i="12"/>
  <c r="K5" i="12"/>
  <c r="D5" i="12"/>
  <c r="DF8" i="3" l="1"/>
  <c r="GU14" i="3" s="1"/>
  <c r="DF19" i="3"/>
  <c r="DF9" i="3"/>
  <c r="GU16" i="3" s="1"/>
  <c r="P6" i="12"/>
  <c r="P15" i="12"/>
  <c r="P24" i="12"/>
  <c r="P33" i="12"/>
  <c r="Q6" i="12"/>
  <c r="Q15" i="12"/>
  <c r="Q24" i="12"/>
  <c r="Q33" i="12"/>
  <c r="FY8" i="3" l="1"/>
  <c r="FY4" i="3" s="1"/>
  <c r="AE3" i="3" l="1"/>
  <c r="FY7" i="3" s="1"/>
  <c r="AD6" i="3" s="1"/>
  <c r="W39" i="12" l="1"/>
  <c r="W40" i="12"/>
  <c r="W41" i="12"/>
  <c r="W42" i="12"/>
  <c r="W43" i="12"/>
  <c r="W44" i="12"/>
  <c r="W45" i="12"/>
  <c r="W38" i="12"/>
  <c r="W36" i="12"/>
  <c r="W35" i="12"/>
  <c r="W34" i="12"/>
  <c r="W33" i="12"/>
  <c r="W32" i="12"/>
  <c r="W31" i="12"/>
  <c r="W30" i="12"/>
  <c r="W29" i="12"/>
  <c r="W27" i="12"/>
  <c r="W26" i="12"/>
  <c r="W25" i="12"/>
  <c r="W24" i="12"/>
  <c r="W23" i="12"/>
  <c r="W22" i="12"/>
  <c r="W21" i="12"/>
  <c r="W20" i="12"/>
  <c r="W12" i="12"/>
  <c r="W13" i="12"/>
  <c r="W14" i="12"/>
  <c r="W15" i="12"/>
  <c r="W16" i="12"/>
  <c r="W17" i="12"/>
  <c r="W18" i="12"/>
  <c r="W11" i="12"/>
  <c r="GA7" i="3" l="1"/>
  <c r="DG11" i="3" s="1"/>
  <c r="EI5" i="3" l="1"/>
  <c r="DI6" i="3"/>
  <c r="DC17" i="3"/>
  <c r="GS4" i="3" l="1"/>
  <c r="GQ4" i="3" s="1"/>
  <c r="GR4" i="3" s="1"/>
  <c r="EL5" i="3"/>
  <c r="DI17" i="3"/>
  <c r="C64" i="3"/>
  <c r="GS5" i="3" l="1"/>
  <c r="GS6" i="3" s="1"/>
  <c r="GS7" i="3" l="1"/>
  <c r="GQ5" i="3"/>
  <c r="GR5" i="3" s="1"/>
  <c r="GQ7" i="3" l="1"/>
  <c r="GR7" i="3" s="1"/>
  <c r="GS8" i="3"/>
  <c r="GQ6" i="3"/>
  <c r="GR6" i="3" s="1"/>
  <c r="GS9" i="3" l="1"/>
  <c r="GQ8" i="3"/>
  <c r="DI7" i="3"/>
  <c r="GS10" i="3" l="1"/>
  <c r="GR8" i="3"/>
  <c r="GS11" i="3" l="1"/>
  <c r="GQ9" i="3"/>
  <c r="GR9" i="3" s="1"/>
  <c r="GS12" i="3" l="1"/>
  <c r="GQ10" i="3"/>
  <c r="GR10" i="3" s="1"/>
  <c r="GS13" i="3" l="1"/>
  <c r="GQ12" i="3"/>
  <c r="GR12" i="3" s="1"/>
  <c r="GQ11" i="3"/>
  <c r="GR11" i="3" s="1"/>
  <c r="GQ14" i="3" l="1"/>
  <c r="GR14" i="3" s="1"/>
  <c r="GQ13" i="3"/>
  <c r="GR13" i="3" s="1"/>
  <c r="AO5" i="12" l="1"/>
  <c r="D20" i="20" l="1"/>
  <c r="K20" i="20"/>
  <c r="K18" i="20"/>
  <c r="AO27" i="12" l="1"/>
  <c r="AO23" i="12"/>
  <c r="AO19" i="12"/>
  <c r="AO15" i="12"/>
  <c r="AO11" i="12"/>
  <c r="AO25" i="12"/>
  <c r="AO26" i="12"/>
  <c r="AR26" i="12"/>
  <c r="AO21" i="12"/>
  <c r="AO22" i="12"/>
  <c r="AO24" i="12"/>
  <c r="AR24" i="12"/>
  <c r="AO17" i="12"/>
  <c r="AO18" i="12"/>
  <c r="AO20" i="12"/>
  <c r="AR20" i="12"/>
  <c r="AO13" i="12"/>
  <c r="AO14" i="12"/>
  <c r="AO16" i="12"/>
  <c r="AR16" i="12"/>
  <c r="AO9" i="12"/>
  <c r="AO10" i="12"/>
  <c r="AO12" i="12"/>
  <c r="AR12" i="12"/>
  <c r="AR11" i="12" l="1"/>
  <c r="AR27" i="12"/>
  <c r="AR14" i="12"/>
  <c r="AR18" i="12"/>
  <c r="AR9" i="12"/>
  <c r="AR21" i="12"/>
  <c r="AR17" i="12"/>
  <c r="AR15" i="12"/>
  <c r="F2" i="20" l="1"/>
  <c r="BD10" i="20" l="1"/>
  <c r="BD9" i="20"/>
  <c r="BD8" i="20"/>
  <c r="BD7" i="20"/>
  <c r="BD6" i="20"/>
  <c r="BD5" i="20"/>
  <c r="ED5" i="3"/>
  <c r="BB30" i="12"/>
  <c r="N43" i="12"/>
  <c r="P43" i="12"/>
  <c r="Q43" i="12"/>
  <c r="N46" i="12"/>
  <c r="P46" i="12"/>
  <c r="Q46" i="12"/>
  <c r="N47" i="12"/>
  <c r="P47" i="12"/>
  <c r="Q47" i="12"/>
  <c r="N48" i="12"/>
  <c r="P48" i="12"/>
  <c r="Q48" i="12"/>
  <c r="N49" i="12"/>
  <c r="P49" i="12"/>
  <c r="Q49" i="12"/>
  <c r="BC31" i="3" l="1"/>
  <c r="BA6" i="3"/>
  <c r="BD6" i="3" s="1"/>
  <c r="L26" i="20"/>
  <c r="M30" i="20"/>
  <c r="J26" i="20"/>
  <c r="J38" i="20"/>
  <c r="J37" i="20"/>
  <c r="L40" i="20"/>
  <c r="K38" i="20"/>
  <c r="J40" i="20"/>
  <c r="J36" i="20"/>
  <c r="J35" i="20"/>
  <c r="J34" i="20"/>
  <c r="J33" i="20"/>
  <c r="J32" i="20"/>
  <c r="J28" i="20"/>
  <c r="J30" i="20"/>
  <c r="J29" i="20"/>
  <c r="M37" i="20"/>
  <c r="M36" i="20"/>
  <c r="M35" i="20"/>
  <c r="M34" i="20"/>
  <c r="M33" i="20"/>
  <c r="M32" i="20"/>
  <c r="M31" i="20"/>
  <c r="K28" i="20"/>
  <c r="M28" i="20"/>
  <c r="DF13" i="3" l="1"/>
  <c r="DF24" i="3" s="1"/>
  <c r="D43" i="12"/>
  <c r="I43" i="12"/>
  <c r="K43" i="12"/>
  <c r="L43" i="12"/>
  <c r="D46" i="12"/>
  <c r="I46" i="12"/>
  <c r="K46" i="12"/>
  <c r="L46" i="12"/>
  <c r="D47" i="12"/>
  <c r="I47" i="12"/>
  <c r="K47" i="12"/>
  <c r="L47" i="12"/>
  <c r="D48" i="12"/>
  <c r="I48" i="12"/>
  <c r="K48" i="12"/>
  <c r="L48" i="12"/>
  <c r="D49" i="12"/>
  <c r="I49" i="12"/>
  <c r="K49" i="12"/>
  <c r="L49" i="12"/>
  <c r="AO8" i="12"/>
  <c r="AR8" i="12" l="1"/>
  <c r="AR5" i="12" l="1"/>
  <c r="DF11" i="3" l="1"/>
  <c r="DF10" i="3"/>
  <c r="M14" i="20" l="1"/>
  <c r="L14" i="20"/>
  <c r="BB31" i="12"/>
  <c r="K16" i="20"/>
  <c r="M12" i="20"/>
  <c r="L12" i="20"/>
  <c r="K14" i="20"/>
  <c r="K12" i="20"/>
  <c r="L10" i="20"/>
  <c r="M10" i="20" s="1"/>
  <c r="K10" i="20"/>
  <c r="AE2" i="20"/>
  <c r="AK46" i="20"/>
  <c r="AJ46" i="20"/>
  <c r="AI46" i="20"/>
  <c r="AH46" i="20"/>
  <c r="AG46" i="20"/>
  <c r="AF46" i="20"/>
  <c r="AE46" i="20"/>
  <c r="AD46" i="20"/>
  <c r="AK41" i="20"/>
  <c r="AJ41" i="20"/>
  <c r="AI41" i="20"/>
  <c r="AH41" i="20"/>
  <c r="AG41" i="20"/>
  <c r="AF41" i="20"/>
  <c r="AE41" i="20"/>
  <c r="AD41" i="20"/>
  <c r="AK36" i="20"/>
  <c r="AJ36" i="20"/>
  <c r="AJ37" i="20" s="1"/>
  <c r="AJ38" i="20" s="1"/>
  <c r="AJ39" i="20" s="1"/>
  <c r="AJ40" i="20" s="1"/>
  <c r="AI36" i="20"/>
  <c r="AH36" i="20"/>
  <c r="AG36" i="20"/>
  <c r="AF36" i="20"/>
  <c r="AF37" i="20" s="1"/>
  <c r="AF38" i="20" s="1"/>
  <c r="AF39" i="20" s="1"/>
  <c r="AF40" i="20" s="1"/>
  <c r="AE36" i="20"/>
  <c r="AD36" i="20"/>
  <c r="AK31" i="20"/>
  <c r="AJ31" i="20"/>
  <c r="AI31" i="20"/>
  <c r="AH31" i="20"/>
  <c r="AG31" i="20"/>
  <c r="AF31" i="20"/>
  <c r="AE31" i="20"/>
  <c r="AD31" i="20"/>
  <c r="AK26" i="20"/>
  <c r="AJ26" i="20"/>
  <c r="AJ27" i="20" s="1"/>
  <c r="AJ28" i="20" s="1"/>
  <c r="AJ29" i="20" s="1"/>
  <c r="AJ30" i="20" s="1"/>
  <c r="AI26" i="20"/>
  <c r="AH26" i="20"/>
  <c r="AH27" i="20" s="1"/>
  <c r="AH28" i="20" s="1"/>
  <c r="AH29" i="20" s="1"/>
  <c r="AH30" i="20" s="1"/>
  <c r="AG26" i="20"/>
  <c r="AF26" i="20"/>
  <c r="AF27" i="20" s="1"/>
  <c r="AF28" i="20" s="1"/>
  <c r="AF29" i="20" s="1"/>
  <c r="AF30" i="20" s="1"/>
  <c r="AE26" i="20"/>
  <c r="AD26" i="20"/>
  <c r="AD27" i="20" s="1"/>
  <c r="AD28" i="20" s="1"/>
  <c r="AD29" i="20" s="1"/>
  <c r="AD30" i="20" s="1"/>
  <c r="AK21" i="20"/>
  <c r="AJ21" i="20"/>
  <c r="AI21" i="20"/>
  <c r="AI22" i="20" s="1"/>
  <c r="AI23" i="20" s="1"/>
  <c r="AI24" i="20" s="1"/>
  <c r="AI25" i="20" s="1"/>
  <c r="AH21" i="20"/>
  <c r="AG21" i="20"/>
  <c r="AF21" i="20"/>
  <c r="AE21" i="20"/>
  <c r="AD21" i="20"/>
  <c r="AK16" i="20"/>
  <c r="AX16" i="20" s="1"/>
  <c r="AY16" i="20" s="1"/>
  <c r="AJ16" i="20"/>
  <c r="AI16" i="20"/>
  <c r="AT16" i="20" s="1"/>
  <c r="AH16" i="20"/>
  <c r="AG16" i="20"/>
  <c r="AF16" i="20"/>
  <c r="AF17" i="20" s="1"/>
  <c r="AF18" i="20" s="1"/>
  <c r="AF19" i="20" s="1"/>
  <c r="AF20" i="20" s="1"/>
  <c r="AE16" i="20"/>
  <c r="AD16" i="20"/>
  <c r="AK13" i="20"/>
  <c r="AJ13" i="20"/>
  <c r="AI13" i="20"/>
  <c r="AH13" i="20"/>
  <c r="AG13" i="20"/>
  <c r="AP13" i="20" s="1"/>
  <c r="AF13" i="20"/>
  <c r="AE13" i="20"/>
  <c r="AL13" i="20" s="1"/>
  <c r="AD13" i="20"/>
  <c r="AK10" i="20"/>
  <c r="AJ10" i="20"/>
  <c r="AI10" i="20"/>
  <c r="AI11" i="20" s="1"/>
  <c r="AI12" i="20" s="1"/>
  <c r="AI14" i="20" s="1"/>
  <c r="AI15" i="20" s="1"/>
  <c r="AH10" i="20"/>
  <c r="AG10" i="20"/>
  <c r="AF10" i="20"/>
  <c r="AE10" i="20"/>
  <c r="AD10" i="20"/>
  <c r="AK5" i="20"/>
  <c r="AK6" i="20" s="1"/>
  <c r="AJ5" i="20"/>
  <c r="AI5" i="20"/>
  <c r="AI6" i="20" s="1"/>
  <c r="AI7" i="20" s="1"/>
  <c r="AI8" i="20" s="1"/>
  <c r="AI9" i="20" s="1"/>
  <c r="AH5" i="20"/>
  <c r="AG5" i="20"/>
  <c r="AF5" i="20"/>
  <c r="AE5" i="20"/>
  <c r="AD5" i="20"/>
  <c r="AC2" i="20"/>
  <c r="AE37" i="20" l="1"/>
  <c r="AE38" i="20" s="1"/>
  <c r="AE39" i="20" s="1"/>
  <c r="AE40" i="20" s="1"/>
  <c r="AG42" i="20"/>
  <c r="AG43" i="20" s="1"/>
  <c r="AG44" i="20" s="1"/>
  <c r="AG45" i="20" s="1"/>
  <c r="AP45" i="20" s="1"/>
  <c r="AE22" i="20"/>
  <c r="AE23" i="20" s="1"/>
  <c r="AE24" i="20" s="1"/>
  <c r="AE25" i="20" s="1"/>
  <c r="AL25" i="20" s="1"/>
  <c r="AG22" i="20"/>
  <c r="AG23" i="20" s="1"/>
  <c r="AG24" i="20" s="1"/>
  <c r="AG25" i="20" s="1"/>
  <c r="AP25" i="20" s="1"/>
  <c r="M24" i="20"/>
  <c r="BI5" i="20"/>
  <c r="J22" i="20" s="1"/>
  <c r="AE32" i="20"/>
  <c r="AE33" i="20" s="1"/>
  <c r="AE34" i="20" s="1"/>
  <c r="AE35" i="20" s="1"/>
  <c r="AL35" i="20" s="1"/>
  <c r="AE6" i="20"/>
  <c r="AE7" i="20" s="1"/>
  <c r="AE8" i="20" s="1"/>
  <c r="AE9" i="20" s="1"/>
  <c r="AL9" i="20" s="1"/>
  <c r="AG6" i="20"/>
  <c r="AP6" i="20" s="1"/>
  <c r="AG27" i="20"/>
  <c r="AG28" i="20" s="1"/>
  <c r="AG29" i="20" s="1"/>
  <c r="AG30" i="20" s="1"/>
  <c r="AP30" i="20" s="1"/>
  <c r="AK27" i="20"/>
  <c r="AK28" i="20" s="1"/>
  <c r="AK29" i="20" s="1"/>
  <c r="AK30" i="20" s="1"/>
  <c r="AF32" i="20"/>
  <c r="AF33" i="20" s="1"/>
  <c r="AF34" i="20" s="1"/>
  <c r="AF35" i="20" s="1"/>
  <c r="AE27" i="20"/>
  <c r="AE28" i="20" s="1"/>
  <c r="AE29" i="20" s="1"/>
  <c r="AE30" i="20" s="1"/>
  <c r="AL30" i="20" s="1"/>
  <c r="AI27" i="20"/>
  <c r="AI28" i="20" s="1"/>
  <c r="AI29" i="20" s="1"/>
  <c r="AI30" i="20" s="1"/>
  <c r="AG37" i="20"/>
  <c r="AG38" i="20" s="1"/>
  <c r="AG39" i="20" s="1"/>
  <c r="AG40" i="20" s="1"/>
  <c r="AP40" i="20" s="1"/>
  <c r="AK37" i="20"/>
  <c r="AK38" i="20" s="1"/>
  <c r="AK39" i="20" s="1"/>
  <c r="AK40" i="20" s="1"/>
  <c r="AK11" i="20"/>
  <c r="AK12" i="20" s="1"/>
  <c r="AE17" i="20"/>
  <c r="AE18" i="20" s="1"/>
  <c r="AE19" i="20" s="1"/>
  <c r="AE20" i="20" s="1"/>
  <c r="AL20" i="20" s="1"/>
  <c r="AD22" i="20"/>
  <c r="AD23" i="20" s="1"/>
  <c r="AD24" i="20" s="1"/>
  <c r="AD25" i="20" s="1"/>
  <c r="AH22" i="20"/>
  <c r="AH23" i="20" s="1"/>
  <c r="AH24" i="20" s="1"/>
  <c r="AH25" i="20" s="1"/>
  <c r="AG32" i="20"/>
  <c r="AG33" i="20" s="1"/>
  <c r="AG34" i="20" s="1"/>
  <c r="AG35" i="20" s="1"/>
  <c r="AP35" i="20" s="1"/>
  <c r="AD37" i="20"/>
  <c r="AD38" i="20" s="1"/>
  <c r="AD39" i="20" s="1"/>
  <c r="AD40" i="20" s="1"/>
  <c r="AH37" i="20"/>
  <c r="AH38" i="20" s="1"/>
  <c r="AH39" i="20" s="1"/>
  <c r="AH40" i="20" s="1"/>
  <c r="AF42" i="20"/>
  <c r="AF43" i="20" s="1"/>
  <c r="AF44" i="20" s="1"/>
  <c r="AF45" i="20" s="1"/>
  <c r="AG17" i="20"/>
  <c r="AG18" i="20" s="1"/>
  <c r="AG19" i="20" s="1"/>
  <c r="AG20" i="20" s="1"/>
  <c r="AP20" i="20" s="1"/>
  <c r="AF22" i="20"/>
  <c r="AF23" i="20" s="1"/>
  <c r="AF24" i="20" s="1"/>
  <c r="AF25" i="20" s="1"/>
  <c r="AJ22" i="20"/>
  <c r="AJ23" i="20" s="1"/>
  <c r="AJ24" i="20" s="1"/>
  <c r="AJ25" i="20" s="1"/>
  <c r="AK32" i="20"/>
  <c r="AK33" i="20" s="1"/>
  <c r="AK34" i="20" s="1"/>
  <c r="AK35" i="20" s="1"/>
  <c r="AK42" i="20"/>
  <c r="AK43" i="20" s="1"/>
  <c r="AK44" i="20" s="1"/>
  <c r="AK45" i="20" s="1"/>
  <c r="AP16" i="20"/>
  <c r="AQ13" i="20"/>
  <c r="AD32" i="20"/>
  <c r="AD33" i="20" s="1"/>
  <c r="AD34" i="20" s="1"/>
  <c r="AD35" i="20" s="1"/>
  <c r="AH32" i="20"/>
  <c r="AH33" i="20" s="1"/>
  <c r="AH34" i="20" s="1"/>
  <c r="AH35" i="20" s="1"/>
  <c r="AF11" i="20"/>
  <c r="AF12" i="20" s="1"/>
  <c r="AF14" i="20" s="1"/>
  <c r="AF15" i="20" s="1"/>
  <c r="AJ11" i="20"/>
  <c r="AJ12" i="20" s="1"/>
  <c r="AJ14" i="20" s="1"/>
  <c r="AJ15" i="20" s="1"/>
  <c r="AJ42" i="20"/>
  <c r="AJ43" i="20" s="1"/>
  <c r="AJ44" i="20" s="1"/>
  <c r="AJ45" i="20" s="1"/>
  <c r="AF6" i="20"/>
  <c r="AF7" i="20" s="1"/>
  <c r="AF8" i="20" s="1"/>
  <c r="AF9" i="20" s="1"/>
  <c r="AJ6" i="20"/>
  <c r="AJ7" i="20" s="1"/>
  <c r="AJ8" i="20" s="1"/>
  <c r="AJ9" i="20" s="1"/>
  <c r="AD17" i="20"/>
  <c r="AD18" i="20" s="1"/>
  <c r="AD19" i="20" s="1"/>
  <c r="AD20" i="20" s="1"/>
  <c r="AH17" i="20"/>
  <c r="AH18" i="20" s="1"/>
  <c r="AH19" i="20" s="1"/>
  <c r="AH20" i="20" s="1"/>
  <c r="AJ17" i="20"/>
  <c r="AJ18" i="20" s="1"/>
  <c r="AJ19" i="20" s="1"/>
  <c r="AJ20" i="20" s="1"/>
  <c r="AE42" i="20"/>
  <c r="AE43" i="20" s="1"/>
  <c r="AE44" i="20" s="1"/>
  <c r="AE45" i="20" s="1"/>
  <c r="AL45" i="20" s="1"/>
  <c r="AD42" i="20"/>
  <c r="AD43" i="20" s="1"/>
  <c r="AD44" i="20" s="1"/>
  <c r="AD45" i="20" s="1"/>
  <c r="AH42" i="20"/>
  <c r="AH43" i="20" s="1"/>
  <c r="AH44" i="20" s="1"/>
  <c r="AH45" i="20" s="1"/>
  <c r="AP10" i="20"/>
  <c r="AL10" i="20"/>
  <c r="AD11" i="20"/>
  <c r="AD6" i="20"/>
  <c r="AH11" i="20"/>
  <c r="AH12" i="20" s="1"/>
  <c r="AH6" i="20"/>
  <c r="AH7" i="20" s="1"/>
  <c r="AH8" i="20" s="1"/>
  <c r="AH9" i="20" s="1"/>
  <c r="AE11" i="20"/>
  <c r="AE12" i="20" s="1"/>
  <c r="AE14" i="20" s="1"/>
  <c r="AE15" i="20" s="1"/>
  <c r="AL15" i="20" s="1"/>
  <c r="AK22" i="20"/>
  <c r="AK23" i="20" s="1"/>
  <c r="AK24" i="20" s="1"/>
  <c r="AK25" i="20" s="1"/>
  <c r="AK17" i="20"/>
  <c r="AL37" i="20"/>
  <c r="AK7" i="20"/>
  <c r="AG11" i="20"/>
  <c r="AG12" i="20" s="1"/>
  <c r="AI17" i="20"/>
  <c r="AI18" i="20" s="1"/>
  <c r="AI19" i="20" s="1"/>
  <c r="AI20" i="20" s="1"/>
  <c r="AL36" i="20"/>
  <c r="AL26" i="20"/>
  <c r="AL41" i="20"/>
  <c r="AL40" i="20"/>
  <c r="AL31" i="20"/>
  <c r="AL5" i="20"/>
  <c r="AL39" i="20"/>
  <c r="AL38" i="20"/>
  <c r="AL21" i="20"/>
  <c r="AL16" i="20"/>
  <c r="AL46" i="20"/>
  <c r="AP46" i="20"/>
  <c r="AP26" i="20"/>
  <c r="AP5" i="20"/>
  <c r="AP36" i="20"/>
  <c r="AP31" i="20"/>
  <c r="AI32" i="20"/>
  <c r="AI33" i="20" s="1"/>
  <c r="AI34" i="20" s="1"/>
  <c r="AI35" i="20" s="1"/>
  <c r="AJ32" i="20"/>
  <c r="AJ33" i="20" s="1"/>
  <c r="AJ34" i="20" s="1"/>
  <c r="AJ35" i="20" s="1"/>
  <c r="AP41" i="20"/>
  <c r="AP21" i="20"/>
  <c r="AI42" i="20"/>
  <c r="AI43" i="20" s="1"/>
  <c r="AI44" i="20" s="1"/>
  <c r="AI45" i="20" s="1"/>
  <c r="AI37" i="20"/>
  <c r="AI38" i="20" s="1"/>
  <c r="AI39" i="20" s="1"/>
  <c r="AI40" i="20" s="1"/>
  <c r="D23" i="20"/>
  <c r="D25" i="20" s="1"/>
  <c r="D22" i="20"/>
  <c r="AP42" i="20" l="1"/>
  <c r="AP44" i="20"/>
  <c r="AL23" i="20"/>
  <c r="AL22" i="20"/>
  <c r="AP43" i="20"/>
  <c r="AL24" i="20"/>
  <c r="AP22" i="20"/>
  <c r="AP24" i="20"/>
  <c r="AP23" i="20"/>
  <c r="J23" i="20"/>
  <c r="AL33" i="20"/>
  <c r="AL6" i="20"/>
  <c r="AL32" i="20"/>
  <c r="AL34" i="20"/>
  <c r="F5" i="20"/>
  <c r="AL19" i="20"/>
  <c r="AL8" i="20"/>
  <c r="AP29" i="20"/>
  <c r="AL28" i="20"/>
  <c r="AL7" i="20"/>
  <c r="AG7" i="20"/>
  <c r="AG8" i="20" s="1"/>
  <c r="AG9" i="20" s="1"/>
  <c r="AP9" i="20" s="1"/>
  <c r="AP27" i="20"/>
  <c r="AP39" i="20"/>
  <c r="AP18" i="20"/>
  <c r="AL18" i="20"/>
  <c r="AP19" i="20"/>
  <c r="AP37" i="20"/>
  <c r="AP28" i="20"/>
  <c r="AP34" i="20"/>
  <c r="AP17" i="20"/>
  <c r="AP33" i="20"/>
  <c r="AP38" i="20"/>
  <c r="AL29" i="20"/>
  <c r="AL27" i="20"/>
  <c r="AP11" i="20"/>
  <c r="AP32" i="20"/>
  <c r="AL17" i="20"/>
  <c r="AL44" i="20"/>
  <c r="AL12" i="20"/>
  <c r="AL43" i="20"/>
  <c r="AL11" i="20"/>
  <c r="AL42" i="20"/>
  <c r="AD7" i="20"/>
  <c r="AG14" i="20"/>
  <c r="AP12" i="20"/>
  <c r="AK18" i="20"/>
  <c r="AD12" i="20"/>
  <c r="AK8" i="20"/>
  <c r="AH14" i="20"/>
  <c r="AQ46" i="20"/>
  <c r="AS46" i="20" s="1"/>
  <c r="AR46" i="20" s="1"/>
  <c r="AQ44" i="20"/>
  <c r="AQ42" i="20"/>
  <c r="AQ40" i="20"/>
  <c r="AS40" i="20" s="1"/>
  <c r="AR40" i="20" s="1"/>
  <c r="AQ38" i="20"/>
  <c r="AQ36" i="20"/>
  <c r="AS36" i="20" s="1"/>
  <c r="AR36" i="20" s="1"/>
  <c r="AQ45" i="20"/>
  <c r="AS45" i="20" s="1"/>
  <c r="AR45" i="20" s="1"/>
  <c r="AQ37" i="20"/>
  <c r="AQ31" i="20"/>
  <c r="AS31" i="20" s="1"/>
  <c r="AR31" i="20" s="1"/>
  <c r="AQ27" i="20"/>
  <c r="AQ23" i="20"/>
  <c r="AQ41" i="20"/>
  <c r="AS41" i="20" s="1"/>
  <c r="AR41" i="20" s="1"/>
  <c r="AQ35" i="20"/>
  <c r="AS35" i="20" s="1"/>
  <c r="AR35" i="20" s="1"/>
  <c r="AQ34" i="20"/>
  <c r="AQ30" i="20"/>
  <c r="AS30" i="20" s="1"/>
  <c r="AR30" i="20" s="1"/>
  <c r="AQ29" i="20"/>
  <c r="AQ22" i="20"/>
  <c r="AQ16" i="20"/>
  <c r="AS16" i="20" s="1"/>
  <c r="AR16" i="20" s="1"/>
  <c r="AQ39" i="20"/>
  <c r="AQ32" i="20"/>
  <c r="AQ28" i="20"/>
  <c r="AQ18" i="20"/>
  <c r="AQ15" i="20"/>
  <c r="AQ26" i="20"/>
  <c r="AS26" i="20" s="1"/>
  <c r="AR26" i="20" s="1"/>
  <c r="AQ20" i="20"/>
  <c r="AS20" i="20" s="1"/>
  <c r="AR20" i="20" s="1"/>
  <c r="AQ17" i="20"/>
  <c r="AQ12" i="20"/>
  <c r="AQ11" i="20"/>
  <c r="AQ9" i="20"/>
  <c r="AQ33" i="20"/>
  <c r="AQ21" i="20"/>
  <c r="AS21" i="20" s="1"/>
  <c r="AR21" i="20" s="1"/>
  <c r="AQ19" i="20"/>
  <c r="AQ7" i="20"/>
  <c r="AQ43" i="20"/>
  <c r="AQ25" i="20"/>
  <c r="AS25" i="20" s="1"/>
  <c r="AR25" i="20" s="1"/>
  <c r="AQ24" i="20"/>
  <c r="AS13" i="20"/>
  <c r="AR13" i="20" s="1"/>
  <c r="AQ8" i="20"/>
  <c r="AQ5" i="20"/>
  <c r="AS5" i="20" s="1"/>
  <c r="AR5" i="20" s="1"/>
  <c r="AQ14" i="20"/>
  <c r="AQ10" i="20"/>
  <c r="AS10" i="20" s="1"/>
  <c r="AR10" i="20" s="1"/>
  <c r="AQ6" i="20"/>
  <c r="AS6" i="20" s="1"/>
  <c r="AR6" i="20" s="1"/>
  <c r="AL14" i="20"/>
  <c r="AK14" i="20"/>
  <c r="D24" i="20"/>
  <c r="D18" i="20"/>
  <c r="D16" i="20"/>
  <c r="D14" i="20"/>
  <c r="D12" i="20"/>
  <c r="D10" i="20"/>
  <c r="AS42" i="20" l="1"/>
  <c r="AR42" i="20" s="1"/>
  <c r="AS44" i="20"/>
  <c r="AR44" i="20" s="1"/>
  <c r="AS43" i="20"/>
  <c r="AR43" i="20" s="1"/>
  <c r="AS22" i="20"/>
  <c r="AR22" i="20" s="1"/>
  <c r="AS24" i="20"/>
  <c r="AR24" i="20" s="1"/>
  <c r="AS23" i="20"/>
  <c r="AR23" i="20" s="1"/>
  <c r="AP7" i="20"/>
  <c r="AS7" i="20" s="1"/>
  <c r="AR7" i="20" s="1"/>
  <c r="AS29" i="20"/>
  <c r="AR29" i="20" s="1"/>
  <c r="AS34" i="20"/>
  <c r="AR34" i="20" s="1"/>
  <c r="AP8" i="20"/>
  <c r="AS8" i="20" s="1"/>
  <c r="AR8" i="20" s="1"/>
  <c r="AS39" i="20"/>
  <c r="AR39" i="20" s="1"/>
  <c r="AS27" i="20"/>
  <c r="AR27" i="20" s="1"/>
  <c r="AS18" i="20"/>
  <c r="AR18" i="20" s="1"/>
  <c r="AS33" i="20"/>
  <c r="AR33" i="20" s="1"/>
  <c r="AS17" i="20"/>
  <c r="AR17" i="20" s="1"/>
  <c r="AS28" i="20"/>
  <c r="AR28" i="20" s="1"/>
  <c r="AS19" i="20"/>
  <c r="AR19" i="20" s="1"/>
  <c r="AS37" i="20"/>
  <c r="AR37" i="20" s="1"/>
  <c r="AS38" i="20"/>
  <c r="AR38" i="20" s="1"/>
  <c r="AS11" i="20"/>
  <c r="AR11" i="20" s="1"/>
  <c r="AS32" i="20"/>
  <c r="AR32" i="20" s="1"/>
  <c r="AS12" i="20"/>
  <c r="AR12" i="20" s="1"/>
  <c r="AD14" i="20"/>
  <c r="AK9" i="20"/>
  <c r="AX9" i="20" s="1"/>
  <c r="AX8" i="20"/>
  <c r="AG15" i="20"/>
  <c r="AP15" i="20" s="1"/>
  <c r="AS15" i="20" s="1"/>
  <c r="AR15" i="20" s="1"/>
  <c r="AP14" i="20"/>
  <c r="AS14" i="20" s="1"/>
  <c r="AR14" i="20" s="1"/>
  <c r="AK15" i="20"/>
  <c r="AX15" i="20" s="1"/>
  <c r="AX14" i="20"/>
  <c r="AD8" i="20"/>
  <c r="AH15" i="20"/>
  <c r="AK19" i="20"/>
  <c r="AX18" i="20"/>
  <c r="AS9" i="20"/>
  <c r="AR9" i="20" s="1"/>
  <c r="Q42" i="12"/>
  <c r="P42" i="12"/>
  <c r="Q41" i="12"/>
  <c r="P41" i="12"/>
  <c r="Q40" i="12"/>
  <c r="P40" i="12"/>
  <c r="Q31" i="12"/>
  <c r="P31" i="12"/>
  <c r="Q22" i="12"/>
  <c r="P22" i="12"/>
  <c r="Q13" i="12"/>
  <c r="P13" i="12"/>
  <c r="K40" i="12"/>
  <c r="L40" i="12"/>
  <c r="K41" i="12"/>
  <c r="L41" i="12"/>
  <c r="K42" i="12"/>
  <c r="L42" i="12"/>
  <c r="AT43" i="20" l="1"/>
  <c r="AT35" i="20"/>
  <c r="AT34" i="20"/>
  <c r="AT23" i="20"/>
  <c r="AT28" i="20"/>
  <c r="AT19" i="20"/>
  <c r="AT21" i="20"/>
  <c r="AT20" i="20"/>
  <c r="AT14" i="20"/>
  <c r="AT8" i="20"/>
  <c r="AT10" i="20"/>
  <c r="AT36" i="20"/>
  <c r="AT39" i="20"/>
  <c r="AT42" i="20"/>
  <c r="AT30" i="20"/>
  <c r="AT46" i="20"/>
  <c r="AT44" i="20"/>
  <c r="AT13" i="20"/>
  <c r="AT17" i="20"/>
  <c r="AT11" i="20"/>
  <c r="AT26" i="20"/>
  <c r="AT22" i="20"/>
  <c r="AT45" i="20"/>
  <c r="AT37" i="20"/>
  <c r="AT38" i="20"/>
  <c r="AT27" i="20"/>
  <c r="AT32" i="20"/>
  <c r="AT25" i="20"/>
  <c r="AT33" i="20"/>
  <c r="AT12" i="20"/>
  <c r="AT7" i="20"/>
  <c r="AT15" i="20"/>
  <c r="AT6" i="20"/>
  <c r="AT41" i="20"/>
  <c r="AT31" i="20"/>
  <c r="AT24" i="20"/>
  <c r="AT40" i="20"/>
  <c r="AT18" i="20"/>
  <c r="AT5" i="20"/>
  <c r="AT29" i="20"/>
  <c r="AT9" i="20"/>
  <c r="AX32" i="20"/>
  <c r="AX26" i="20"/>
  <c r="AX6" i="20"/>
  <c r="AX11" i="20"/>
  <c r="AX45" i="20"/>
  <c r="AX37" i="20"/>
  <c r="AX38" i="20"/>
  <c r="AX29" i="20"/>
  <c r="AX30" i="20"/>
  <c r="AX36" i="20"/>
  <c r="AX13" i="20"/>
  <c r="AX35" i="20"/>
  <c r="BA16" i="20"/>
  <c r="AZ16" i="20" s="1"/>
  <c r="M23" i="20" s="1"/>
  <c r="AX5" i="20"/>
  <c r="AX28" i="20"/>
  <c r="AX41" i="20"/>
  <c r="AX46" i="20"/>
  <c r="AX40" i="20"/>
  <c r="AX34" i="20"/>
  <c r="AX23" i="20"/>
  <c r="AX10" i="20"/>
  <c r="AX39" i="20"/>
  <c r="AX42" i="20"/>
  <c r="AX33" i="20"/>
  <c r="AX31" i="20"/>
  <c r="AX21" i="20"/>
  <c r="AX43" i="20"/>
  <c r="AX44" i="20"/>
  <c r="AX27" i="20"/>
  <c r="AX22" i="20"/>
  <c r="AX7" i="20"/>
  <c r="AX12" i="20"/>
  <c r="AX25" i="20"/>
  <c r="AX24" i="20"/>
  <c r="AX17" i="20"/>
  <c r="AK20" i="20"/>
  <c r="AX20" i="20" s="1"/>
  <c r="AX19" i="20"/>
  <c r="AD9" i="20"/>
  <c r="AD15" i="20"/>
  <c r="AY36" i="20" l="1"/>
  <c r="BA36" i="20" s="1"/>
  <c r="AZ36" i="20" s="1"/>
  <c r="AY28" i="20"/>
  <c r="BA28" i="20" s="1"/>
  <c r="AZ28" i="20" s="1"/>
  <c r="AY20" i="20"/>
  <c r="BA20" i="20" s="1"/>
  <c r="AZ20" i="20" s="1"/>
  <c r="AY27" i="20"/>
  <c r="BA27" i="20" s="1"/>
  <c r="AZ27" i="20" s="1"/>
  <c r="AY15" i="20"/>
  <c r="BA15" i="20" s="1"/>
  <c r="AZ15" i="20" s="1"/>
  <c r="AY7" i="20"/>
  <c r="BA7" i="20" s="1"/>
  <c r="AZ7" i="20" s="1"/>
  <c r="AY46" i="20"/>
  <c r="BA46" i="20" s="1"/>
  <c r="AZ46" i="20" s="1"/>
  <c r="AY25" i="20"/>
  <c r="BA25" i="20" s="1"/>
  <c r="AZ25" i="20" s="1"/>
  <c r="AY18" i="20"/>
  <c r="BA18" i="20" s="1"/>
  <c r="AZ18" i="20" s="1"/>
  <c r="AY21" i="20"/>
  <c r="BA21" i="20" s="1"/>
  <c r="AZ21" i="20" s="1"/>
  <c r="AY5" i="20"/>
  <c r="BA5" i="20" s="1"/>
  <c r="AZ5" i="20" s="1"/>
  <c r="AY32" i="20"/>
  <c r="BA32" i="20" s="1"/>
  <c r="AZ32" i="20" s="1"/>
  <c r="AY24" i="20"/>
  <c r="BA24" i="20" s="1"/>
  <c r="AZ24" i="20" s="1"/>
  <c r="AY39" i="20"/>
  <c r="BA39" i="20" s="1"/>
  <c r="AZ39" i="20" s="1"/>
  <c r="AY19" i="20"/>
  <c r="BA19" i="20" s="1"/>
  <c r="AZ19" i="20" s="1"/>
  <c r="AY11" i="20"/>
  <c r="BA11" i="20" s="1"/>
  <c r="AZ11" i="20" s="1"/>
  <c r="AY42" i="20"/>
  <c r="BA42" i="20" s="1"/>
  <c r="AZ42" i="20" s="1"/>
  <c r="AY29" i="20"/>
  <c r="BA29" i="20" s="1"/>
  <c r="AZ29" i="20" s="1"/>
  <c r="AY37" i="20"/>
  <c r="BA37" i="20" s="1"/>
  <c r="AZ37" i="20" s="1"/>
  <c r="AY44" i="20"/>
  <c r="BA44" i="20" s="1"/>
  <c r="AZ44" i="20" s="1"/>
  <c r="AY10" i="20"/>
  <c r="BA10" i="20" s="1"/>
  <c r="AZ10" i="20" s="1"/>
  <c r="AY45" i="20"/>
  <c r="BA45" i="20" s="1"/>
  <c r="AZ45" i="20" s="1"/>
  <c r="AY30" i="20"/>
  <c r="BA30" i="20" s="1"/>
  <c r="AZ30" i="20" s="1"/>
  <c r="AY22" i="20"/>
  <c r="BA22" i="20" s="1"/>
  <c r="AZ22" i="20" s="1"/>
  <c r="AY31" i="20"/>
  <c r="BA31" i="20" s="1"/>
  <c r="AZ31" i="20" s="1"/>
  <c r="AY17" i="20"/>
  <c r="BA17" i="20" s="1"/>
  <c r="AZ17" i="20" s="1"/>
  <c r="AY9" i="20"/>
  <c r="BA9" i="20" s="1"/>
  <c r="AZ9" i="20" s="1"/>
  <c r="AY38" i="20"/>
  <c r="BA38" i="20" s="1"/>
  <c r="AZ38" i="20" s="1"/>
  <c r="AY35" i="20"/>
  <c r="BA35" i="20" s="1"/>
  <c r="AZ35" i="20" s="1"/>
  <c r="AY33" i="20"/>
  <c r="BA33" i="20" s="1"/>
  <c r="AZ33" i="20" s="1"/>
  <c r="AY40" i="20"/>
  <c r="BA40" i="20" s="1"/>
  <c r="AZ40" i="20" s="1"/>
  <c r="AY6" i="20"/>
  <c r="BA6" i="20" s="1"/>
  <c r="AZ6" i="20" s="1"/>
  <c r="AY34" i="20"/>
  <c r="BA34" i="20" s="1"/>
  <c r="AZ34" i="20" s="1"/>
  <c r="AY26" i="20"/>
  <c r="BA26" i="20" s="1"/>
  <c r="AZ26" i="20" s="1"/>
  <c r="AY43" i="20"/>
  <c r="BA43" i="20" s="1"/>
  <c r="AZ43" i="20" s="1"/>
  <c r="AY23" i="20"/>
  <c r="BA23" i="20" s="1"/>
  <c r="AZ23" i="20" s="1"/>
  <c r="AY13" i="20"/>
  <c r="BA13" i="20" s="1"/>
  <c r="AZ13" i="20" s="1"/>
  <c r="AY41" i="20"/>
  <c r="BA41" i="20" s="1"/>
  <c r="AZ41" i="20" s="1"/>
  <c r="AY12" i="20"/>
  <c r="BA12" i="20" s="1"/>
  <c r="AZ12" i="20" s="1"/>
  <c r="AY8" i="20"/>
  <c r="BA8" i="20" s="1"/>
  <c r="AZ8" i="20" s="1"/>
  <c r="AY14" i="20"/>
  <c r="BA14" i="20" s="1"/>
  <c r="AZ14" i="20" s="1"/>
  <c r="N40" i="12" l="1"/>
  <c r="N41" i="12"/>
  <c r="N42" i="12"/>
  <c r="I40" i="12"/>
  <c r="I41" i="12"/>
  <c r="I42" i="12"/>
  <c r="AM13" i="20" l="1"/>
  <c r="AU16" i="20"/>
  <c r="AM5" i="20" l="1"/>
  <c r="AO5" i="20" s="1"/>
  <c r="AN5" i="20" s="1"/>
  <c r="AM37" i="20"/>
  <c r="AO37" i="20" s="1"/>
  <c r="AN37" i="20" s="1"/>
  <c r="AM46" i="20"/>
  <c r="AO46" i="20" s="1"/>
  <c r="AN46" i="20" s="1"/>
  <c r="AM30" i="20"/>
  <c r="AO30" i="20" s="1"/>
  <c r="AN30" i="20" s="1"/>
  <c r="AM41" i="20"/>
  <c r="AO41" i="20" s="1"/>
  <c r="AN41" i="20" s="1"/>
  <c r="AM23" i="20"/>
  <c r="AO23" i="20" s="1"/>
  <c r="AN23" i="20" s="1"/>
  <c r="AO13" i="20"/>
  <c r="AN13" i="20" s="1"/>
  <c r="AM44" i="20"/>
  <c r="AO44" i="20" s="1"/>
  <c r="AN44" i="20" s="1"/>
  <c r="AM26" i="20"/>
  <c r="AO26" i="20" s="1"/>
  <c r="AN26" i="20" s="1"/>
  <c r="AM10" i="20"/>
  <c r="AO10" i="20" s="1"/>
  <c r="AN10" i="20" s="1"/>
  <c r="AM36" i="20"/>
  <c r="AO36" i="20" s="1"/>
  <c r="AN36" i="20" s="1"/>
  <c r="AM28" i="20"/>
  <c r="AO28" i="20" s="1"/>
  <c r="AN28" i="20" s="1"/>
  <c r="AM20" i="20"/>
  <c r="AO20" i="20" s="1"/>
  <c r="AN20" i="20" s="1"/>
  <c r="AM31" i="20"/>
  <c r="AO31" i="20" s="1"/>
  <c r="AN31" i="20" s="1"/>
  <c r="AM39" i="20"/>
  <c r="AO39" i="20" s="1"/>
  <c r="AN39" i="20" s="1"/>
  <c r="AM24" i="20"/>
  <c r="AO24" i="20" s="1"/>
  <c r="AN24" i="20" s="1"/>
  <c r="AM16" i="20"/>
  <c r="AO16" i="20" s="1"/>
  <c r="AN16" i="20" s="1"/>
  <c r="AM18" i="20"/>
  <c r="AO18" i="20" s="1"/>
  <c r="AN18" i="20" s="1"/>
  <c r="AM21" i="20"/>
  <c r="AO21" i="20" s="1"/>
  <c r="AN21" i="20" s="1"/>
  <c r="AM27" i="20"/>
  <c r="AO27" i="20" s="1"/>
  <c r="AN27" i="20" s="1"/>
  <c r="AM29" i="20"/>
  <c r="AO29" i="20" s="1"/>
  <c r="AN29" i="20" s="1"/>
  <c r="AM45" i="20"/>
  <c r="AO45" i="20" s="1"/>
  <c r="AN45" i="20" s="1"/>
  <c r="AM40" i="20"/>
  <c r="AO40" i="20" s="1"/>
  <c r="AN40" i="20" s="1"/>
  <c r="AM22" i="20"/>
  <c r="AO22" i="20" s="1"/>
  <c r="AN22" i="20" s="1"/>
  <c r="AM17" i="20"/>
  <c r="AO17" i="20" s="1"/>
  <c r="AN17" i="20" s="1"/>
  <c r="AM33" i="20"/>
  <c r="AO33" i="20" s="1"/>
  <c r="AN33" i="20" s="1"/>
  <c r="AM6" i="20"/>
  <c r="AO6" i="20" s="1"/>
  <c r="AN6" i="20" s="1"/>
  <c r="AM43" i="20"/>
  <c r="AO43" i="20" s="1"/>
  <c r="AN43" i="20" s="1"/>
  <c r="AM32" i="20"/>
  <c r="AO32" i="20" s="1"/>
  <c r="AN32" i="20" s="1"/>
  <c r="AM19" i="20"/>
  <c r="AO19" i="20" s="1"/>
  <c r="AN19" i="20" s="1"/>
  <c r="AM11" i="20"/>
  <c r="AO11" i="20" s="1"/>
  <c r="AN11" i="20" s="1"/>
  <c r="AM35" i="20"/>
  <c r="AO35" i="20" s="1"/>
  <c r="AN35" i="20" s="1"/>
  <c r="AM34" i="20"/>
  <c r="AO34" i="20" s="1"/>
  <c r="AN34" i="20" s="1"/>
  <c r="AM25" i="20"/>
  <c r="AO25" i="20" s="1"/>
  <c r="AN25" i="20" s="1"/>
  <c r="AM38" i="20"/>
  <c r="AO38" i="20" s="1"/>
  <c r="AN38" i="20" s="1"/>
  <c r="AM42" i="20"/>
  <c r="AO42" i="20" s="1"/>
  <c r="AN42" i="20" s="1"/>
  <c r="AM12" i="20"/>
  <c r="AO12" i="20" s="1"/>
  <c r="AN12" i="20" s="1"/>
  <c r="AM7" i="20"/>
  <c r="AO7" i="20" s="1"/>
  <c r="AN7" i="20" s="1"/>
  <c r="AM14" i="20"/>
  <c r="AO14" i="20" s="1"/>
  <c r="AN14" i="20" s="1"/>
  <c r="AM8" i="20"/>
  <c r="AO8" i="20" s="1"/>
  <c r="AN8" i="20" s="1"/>
  <c r="AM9" i="20"/>
  <c r="AO9" i="20" s="1"/>
  <c r="AN9" i="20" s="1"/>
  <c r="AM15" i="20"/>
  <c r="AO15" i="20" s="1"/>
  <c r="AN15" i="20" s="1"/>
  <c r="AU14" i="20"/>
  <c r="AW14" i="20" s="1"/>
  <c r="AV14" i="20" s="1"/>
  <c r="AW16" i="20"/>
  <c r="AV16" i="20" s="1"/>
  <c r="AU23" i="20"/>
  <c r="AW23" i="20" s="1"/>
  <c r="AV23" i="20" s="1"/>
  <c r="AU21" i="20"/>
  <c r="AW21" i="20" s="1"/>
  <c r="AV21" i="20" s="1"/>
  <c r="AU38" i="20"/>
  <c r="AW38" i="20" s="1"/>
  <c r="AV38" i="20" s="1"/>
  <c r="AU19" i="20"/>
  <c r="AW19" i="20" s="1"/>
  <c r="AV19" i="20" s="1"/>
  <c r="AU29" i="20"/>
  <c r="AW29" i="20" s="1"/>
  <c r="AV29" i="20" s="1"/>
  <c r="AU17" i="20"/>
  <c r="AW17" i="20" s="1"/>
  <c r="AV17" i="20" s="1"/>
  <c r="AU25" i="20"/>
  <c r="AW25" i="20" s="1"/>
  <c r="AV25" i="20" s="1"/>
  <c r="AU37" i="20"/>
  <c r="AW37" i="20" s="1"/>
  <c r="AV37" i="20" s="1"/>
  <c r="AU18" i="20"/>
  <c r="AW18" i="20" s="1"/>
  <c r="AV18" i="20" s="1"/>
  <c r="AU12" i="20"/>
  <c r="AW12" i="20" s="1"/>
  <c r="AV12" i="20" s="1"/>
  <c r="AU39" i="20"/>
  <c r="AW39" i="20" s="1"/>
  <c r="AV39" i="20" s="1"/>
  <c r="AU9" i="20"/>
  <c r="AW9" i="20" s="1"/>
  <c r="AV9" i="20" s="1"/>
  <c r="AU6" i="20"/>
  <c r="AW6" i="20" s="1"/>
  <c r="AV6" i="20" s="1"/>
  <c r="AU7" i="20"/>
  <c r="AW7" i="20" s="1"/>
  <c r="AV7" i="20" s="1"/>
  <c r="AU34" i="20"/>
  <c r="AW34" i="20" s="1"/>
  <c r="AV34" i="20" s="1"/>
  <c r="AU43" i="20"/>
  <c r="AW43" i="20" s="1"/>
  <c r="AV43" i="20" s="1"/>
  <c r="AU13" i="20"/>
  <c r="AW13" i="20" s="1"/>
  <c r="AV13" i="20" s="1"/>
  <c r="AU15" i="20"/>
  <c r="AW15" i="20" s="1"/>
  <c r="AV15" i="20" s="1"/>
  <c r="AU8" i="20"/>
  <c r="AW8" i="20" s="1"/>
  <c r="AV8" i="20" s="1"/>
  <c r="AU30" i="20"/>
  <c r="AW30" i="20" s="1"/>
  <c r="AV30" i="20" s="1"/>
  <c r="AU44" i="20"/>
  <c r="AW44" i="20" s="1"/>
  <c r="AV44" i="20" s="1"/>
  <c r="AU35" i="20"/>
  <c r="AW35" i="20" s="1"/>
  <c r="AV35" i="20" s="1"/>
  <c r="AU41" i="20"/>
  <c r="AW41" i="20" s="1"/>
  <c r="AV41" i="20" s="1"/>
  <c r="AU26" i="20"/>
  <c r="AW26" i="20" s="1"/>
  <c r="AV26" i="20" s="1"/>
  <c r="AU40" i="20"/>
  <c r="AW40" i="20" s="1"/>
  <c r="AV40" i="20" s="1"/>
  <c r="AU32" i="20"/>
  <c r="AW32" i="20" s="1"/>
  <c r="AV32" i="20" s="1"/>
  <c r="AU45" i="20"/>
  <c r="AW45" i="20" s="1"/>
  <c r="AV45" i="20" s="1"/>
  <c r="AU20" i="20"/>
  <c r="AW20" i="20" s="1"/>
  <c r="AV20" i="20" s="1"/>
  <c r="AU10" i="20"/>
  <c r="AW10" i="20" s="1"/>
  <c r="AV10" i="20" s="1"/>
  <c r="AU22" i="20"/>
  <c r="AW22" i="20" s="1"/>
  <c r="AV22" i="20" s="1"/>
  <c r="AU42" i="20"/>
  <c r="AW42" i="20" s="1"/>
  <c r="AV42" i="20" s="1"/>
  <c r="AU28" i="20"/>
  <c r="AW28" i="20" s="1"/>
  <c r="AV28" i="20" s="1"/>
  <c r="AU27" i="20"/>
  <c r="AW27" i="20" s="1"/>
  <c r="AV27" i="20" s="1"/>
  <c r="AU46" i="20"/>
  <c r="AW46" i="20" s="1"/>
  <c r="AV46" i="20" s="1"/>
  <c r="AU33" i="20"/>
  <c r="AW33" i="20" s="1"/>
  <c r="AV33" i="20" s="1"/>
  <c r="AU24" i="20"/>
  <c r="AW24" i="20" s="1"/>
  <c r="AV24" i="20" s="1"/>
  <c r="AU36" i="20"/>
  <c r="AW36" i="20" s="1"/>
  <c r="AV36" i="20" s="1"/>
  <c r="AU11" i="20"/>
  <c r="AW11" i="20" s="1"/>
  <c r="AV11" i="20" s="1"/>
  <c r="AU5" i="20"/>
  <c r="AW5" i="20" s="1"/>
  <c r="AV5" i="20" s="1"/>
  <c r="AU31" i="20"/>
  <c r="AW31" i="20" s="1"/>
  <c r="AV31" i="20" s="1"/>
  <c r="M22" i="20" l="1"/>
  <c r="GA4" i="3"/>
  <c r="D40" i="12" l="1"/>
  <c r="D41" i="12"/>
  <c r="D42" i="12"/>
  <c r="BD5" i="12" l="1"/>
  <c r="BD6" i="12"/>
  <c r="BD7" i="12"/>
  <c r="BD8" i="12"/>
  <c r="BD9" i="12"/>
  <c r="BD10" i="12"/>
  <c r="BD11" i="12"/>
  <c r="BD12" i="12"/>
  <c r="BD13" i="12"/>
  <c r="BD14" i="12"/>
  <c r="BD15" i="12"/>
  <c r="BD16" i="12"/>
  <c r="BD17" i="12"/>
  <c r="BD18" i="12"/>
  <c r="BD19" i="12"/>
  <c r="BD20" i="12"/>
  <c r="BD21" i="12"/>
  <c r="BD22" i="12"/>
  <c r="BD24" i="12"/>
  <c r="BD25" i="12"/>
  <c r="BD26" i="12"/>
  <c r="BD27" i="12"/>
  <c r="BD28" i="12"/>
  <c r="BD29" i="12"/>
  <c r="BD30" i="12" l="1"/>
  <c r="GS15" i="3" l="1"/>
  <c r="GU15" i="3" l="1"/>
  <c r="GQ16" i="3"/>
  <c r="GR16" i="3" s="1"/>
  <c r="GQ15" i="3"/>
  <c r="GR15" i="3" s="1"/>
  <c r="DM6" i="3" l="1"/>
  <c r="DH10" i="3"/>
  <c r="DQ6" i="3" l="1"/>
  <c r="DR6" i="3"/>
  <c r="EB6" i="3"/>
  <c r="GC5" i="3"/>
  <c r="AG46" i="3"/>
  <c r="AR46" i="3" s="1"/>
  <c r="AG41" i="3"/>
  <c r="AR41" i="3" s="1"/>
  <c r="AG36" i="3"/>
  <c r="AR36" i="3" s="1"/>
  <c r="AE31" i="3"/>
  <c r="AH31" i="3" s="1"/>
  <c r="AE26" i="3"/>
  <c r="AH26" i="3" s="1"/>
  <c r="AE21" i="3"/>
  <c r="AH21" i="3" s="1"/>
  <c r="AE11" i="3"/>
  <c r="AH11" i="3" s="1"/>
  <c r="AE6" i="3"/>
  <c r="AH6" i="3" s="1"/>
  <c r="AF46" i="3"/>
  <c r="AF36" i="3"/>
  <c r="AD26" i="3"/>
  <c r="AD11" i="3"/>
  <c r="AE46" i="3"/>
  <c r="AE41" i="3"/>
  <c r="AE36" i="3"/>
  <c r="AG31" i="3"/>
  <c r="AR31" i="3" s="1"/>
  <c r="AG26" i="3"/>
  <c r="AR26" i="3" s="1"/>
  <c r="AG21" i="3"/>
  <c r="AR21" i="3" s="1"/>
  <c r="AG11" i="3"/>
  <c r="AR11" i="3" s="1"/>
  <c r="AG6" i="3"/>
  <c r="AR6" i="3" s="1"/>
  <c r="AD46" i="3"/>
  <c r="AD41" i="3"/>
  <c r="AD36" i="3"/>
  <c r="AF31" i="3"/>
  <c r="AF26" i="3"/>
  <c r="AF21" i="3"/>
  <c r="AF11" i="3"/>
  <c r="AF6" i="3"/>
  <c r="AF41" i="3"/>
  <c r="AD31" i="3"/>
  <c r="AD21" i="3"/>
  <c r="D68" i="3"/>
  <c r="FY6" i="3"/>
  <c r="AS16" i="3" s="1"/>
  <c r="AS41" i="3" l="1"/>
  <c r="AU41" i="3" s="1"/>
  <c r="AT41" i="3" s="1"/>
  <c r="AS46" i="3"/>
  <c r="AU46" i="3" s="1"/>
  <c r="AT46" i="3" s="1"/>
  <c r="AV46" i="3"/>
  <c r="AV41" i="3"/>
  <c r="AI16" i="3"/>
  <c r="AI6" i="3" s="1"/>
  <c r="AK6" i="3" s="1"/>
  <c r="AV16" i="3"/>
  <c r="AW16" i="3" s="1"/>
  <c r="BB31" i="3"/>
  <c r="DH13" i="3" s="1"/>
  <c r="AW41" i="3" l="1"/>
  <c r="AY41" i="3" s="1"/>
  <c r="AX41" i="3" s="1"/>
  <c r="AW46" i="3"/>
  <c r="AY46" i="3" s="1"/>
  <c r="AX46" i="3" s="1"/>
  <c r="AK16" i="3"/>
  <c r="AJ16" i="3" s="1"/>
  <c r="AY16" i="3"/>
  <c r="AX16" i="3" s="1"/>
  <c r="AX15" i="3" s="1"/>
  <c r="BA7" i="3"/>
  <c r="AW6" i="3" l="1"/>
  <c r="AW26" i="3"/>
  <c r="AW11" i="3"/>
  <c r="AW31" i="3"/>
  <c r="AW36" i="3"/>
  <c r="AW21" i="3"/>
  <c r="AX14" i="3"/>
  <c r="AY15" i="3"/>
  <c r="BD7" i="3"/>
  <c r="BA8" i="3"/>
  <c r="AY14" i="3" l="1"/>
  <c r="AX13" i="3"/>
  <c r="BD8" i="3"/>
  <c r="BA9" i="3"/>
  <c r="AX12" i="3" l="1"/>
  <c r="AY13" i="3"/>
  <c r="BD9" i="3"/>
  <c r="BA10" i="3"/>
  <c r="AX11" i="3" l="1"/>
  <c r="AY12" i="3"/>
  <c r="BD10" i="3"/>
  <c r="BA11" i="3"/>
  <c r="AX10" i="3" l="1"/>
  <c r="AY11" i="3"/>
  <c r="BD11" i="3"/>
  <c r="BA12" i="3"/>
  <c r="AX9" i="3" l="1"/>
  <c r="AY10" i="3"/>
  <c r="BD12" i="3"/>
  <c r="BA13" i="3"/>
  <c r="AX8" i="3" l="1"/>
  <c r="AY9" i="3"/>
  <c r="BD13" i="3"/>
  <c r="BA14" i="3"/>
  <c r="AX7" i="3" l="1"/>
  <c r="AY8" i="3"/>
  <c r="BD14" i="3"/>
  <c r="BA15" i="3"/>
  <c r="AX6" i="3" l="1"/>
  <c r="AY6" i="3" s="1"/>
  <c r="AY7" i="3"/>
  <c r="BD15" i="3"/>
  <c r="BA16" i="3"/>
  <c r="BD16" i="3" l="1"/>
  <c r="BA17" i="3"/>
  <c r="BD17" i="3" l="1"/>
  <c r="BA18" i="3"/>
  <c r="BD18" i="3" l="1"/>
  <c r="BA19" i="3"/>
  <c r="BD19" i="3" l="1"/>
  <c r="BA20" i="3"/>
  <c r="BD20" i="3" l="1"/>
  <c r="BA21" i="3"/>
  <c r="BD21" i="3" l="1"/>
  <c r="BA22" i="3"/>
  <c r="BD22" i="3" l="1"/>
  <c r="BA23" i="3"/>
  <c r="BD23" i="3" l="1"/>
  <c r="BA24" i="3"/>
  <c r="BD24" i="3" l="1"/>
  <c r="BA25" i="3"/>
  <c r="BD25" i="3" l="1"/>
  <c r="BA26" i="3"/>
  <c r="BD26" i="3" l="1"/>
  <c r="BA27" i="3"/>
  <c r="BD27" i="3" l="1"/>
  <c r="BA28" i="3"/>
  <c r="BD28" i="3" l="1"/>
  <c r="BA29" i="3"/>
  <c r="BD29" i="3" l="1"/>
  <c r="BA30" i="3"/>
  <c r="BD30" i="3" l="1"/>
  <c r="DF6" i="3" l="1"/>
  <c r="DF17" i="3"/>
  <c r="GU8" i="3" l="1"/>
  <c r="EC6" i="3"/>
  <c r="GU12" i="3"/>
  <c r="GU10" i="3"/>
  <c r="GU4" i="3"/>
  <c r="GU6" i="3"/>
  <c r="BA30" i="12" l="1"/>
  <c r="AO6" i="12" l="1"/>
  <c r="AR6" i="12"/>
  <c r="DE24" i="3" l="1"/>
  <c r="DC24" i="3"/>
  <c r="DE23" i="3" l="1"/>
  <c r="DC23" i="3"/>
  <c r="DE22" i="3" l="1"/>
  <c r="DC22" i="3"/>
  <c r="DE21" i="3" l="1"/>
  <c r="DC21" i="3"/>
  <c r="DI20" i="3" l="1"/>
  <c r="DC20" i="3"/>
  <c r="DI18" i="3" l="1"/>
  <c r="DC18" i="3"/>
  <c r="DH24" i="3" l="1"/>
  <c r="DE20" i="3" l="1"/>
  <c r="DF20" i="3" s="1"/>
  <c r="DF22" i="3"/>
  <c r="DM7" i="3" l="1"/>
  <c r="DG22" i="3"/>
  <c r="DK22" i="3" s="1"/>
  <c r="DK11" i="3"/>
  <c r="ER6" i="3"/>
  <c r="DQ7" i="3" l="1"/>
  <c r="DR7" i="3"/>
  <c r="EB7" i="3"/>
  <c r="EC7" i="3" s="1"/>
  <c r="GC6" i="3"/>
  <c r="D69" i="3"/>
  <c r="DM8" i="3"/>
  <c r="ER7" i="3"/>
  <c r="FG5" i="3"/>
  <c r="FF5" i="3"/>
  <c r="EV5" i="3"/>
  <c r="EU5" i="3"/>
  <c r="EH5" i="3"/>
  <c r="EG5" i="3"/>
  <c r="EE5" i="3"/>
  <c r="EK5" i="3" s="1"/>
  <c r="EJ5" i="3"/>
  <c r="DI11" i="3"/>
  <c r="GS20" i="3" s="1"/>
  <c r="GU20" i="3" s="1"/>
  <c r="FB3" i="3"/>
  <c r="EQ3" i="3"/>
  <c r="EC3" i="3"/>
  <c r="DM3" i="3"/>
  <c r="DC3" i="3"/>
  <c r="BA3" i="3"/>
  <c r="AC3" i="3"/>
  <c r="DR8" i="3" l="1"/>
  <c r="DQ8" i="3"/>
  <c r="EB8" i="3"/>
  <c r="EC8" i="3" s="1"/>
  <c r="M69" i="3"/>
  <c r="GC7" i="3"/>
  <c r="K69" i="3"/>
  <c r="DF7" i="3"/>
  <c r="GS21" i="3"/>
  <c r="J21" i="20"/>
  <c r="J19" i="20"/>
  <c r="J18" i="20"/>
  <c r="J20" i="20"/>
  <c r="J16" i="20"/>
  <c r="J24" i="20"/>
  <c r="D70" i="3"/>
  <c r="J14" i="20"/>
  <c r="J13" i="20"/>
  <c r="J12" i="20"/>
  <c r="J10" i="20"/>
  <c r="J17" i="20"/>
  <c r="J15" i="20"/>
  <c r="EN5" i="3"/>
  <c r="ET7" i="3"/>
  <c r="DE18" i="3"/>
  <c r="DF18" i="3" s="1"/>
  <c r="DF21" i="3"/>
  <c r="EQ6" i="3"/>
  <c r="DM9" i="3"/>
  <c r="ET8" i="3"/>
  <c r="EQ8" i="3"/>
  <c r="ER8" i="3"/>
  <c r="EM5" i="3"/>
  <c r="EQ7" i="3"/>
  <c r="DQ9" i="3" l="1"/>
  <c r="DR9" i="3"/>
  <c r="EB9" i="3"/>
  <c r="EC9" i="3" s="1"/>
  <c r="GU13" i="3"/>
  <c r="GU9" i="3"/>
  <c r="GU11" i="3"/>
  <c r="DJ20" i="3"/>
  <c r="DK20" i="3" s="1"/>
  <c r="GU7" i="3"/>
  <c r="GU5" i="3"/>
  <c r="EE6" i="3"/>
  <c r="EN6" i="3" s="1"/>
  <c r="GC8" i="3"/>
  <c r="DJ17" i="3"/>
  <c r="DK17" i="3" s="1"/>
  <c r="DJ6" i="3"/>
  <c r="D71" i="3"/>
  <c r="GS22" i="3"/>
  <c r="BD31" i="3"/>
  <c r="DK13" i="3" s="1"/>
  <c r="DJ18" i="3"/>
  <c r="DK18" i="3" s="1"/>
  <c r="DM10" i="3"/>
  <c r="EQ9" i="3"/>
  <c r="ET9" i="3"/>
  <c r="ER9" i="3"/>
  <c r="DI22" i="3"/>
  <c r="DR10" i="3" l="1"/>
  <c r="DQ10" i="3"/>
  <c r="EB10" i="3"/>
  <c r="EC10" i="3" s="1"/>
  <c r="DP10" i="3"/>
  <c r="DP6" i="3"/>
  <c r="DP9" i="3"/>
  <c r="J71" i="3" s="1"/>
  <c r="DP8" i="3"/>
  <c r="DP7" i="3"/>
  <c r="EE9" i="3"/>
  <c r="DJ8" i="3"/>
  <c r="DK8" i="3" s="1"/>
  <c r="EG10" i="3" s="1"/>
  <c r="ED6" i="3"/>
  <c r="ED7" i="3"/>
  <c r="ED8" i="3"/>
  <c r="ED9" i="3"/>
  <c r="DJ19" i="3"/>
  <c r="DK19" i="3" s="1"/>
  <c r="ED10" i="3"/>
  <c r="GC9" i="3"/>
  <c r="DK6" i="3"/>
  <c r="EF7" i="3" s="1"/>
  <c r="D72" i="3"/>
  <c r="GS23" i="3"/>
  <c r="DJ7" i="3"/>
  <c r="DK7" i="3" s="1"/>
  <c r="DJ9" i="3"/>
  <c r="EE7" i="3"/>
  <c r="EE8" i="3"/>
  <c r="DM11" i="3"/>
  <c r="ET10" i="3"/>
  <c r="EQ10" i="3"/>
  <c r="EE10" i="3"/>
  <c r="ER10" i="3"/>
  <c r="DQ11" i="3" l="1"/>
  <c r="DR11" i="3"/>
  <c r="EB11" i="3"/>
  <c r="EC11" i="3" s="1"/>
  <c r="DP11" i="3"/>
  <c r="GF8" i="3"/>
  <c r="J69" i="3"/>
  <c r="GF6" i="3"/>
  <c r="EL6" i="3"/>
  <c r="EI6" i="3" s="1"/>
  <c r="GF5" i="3"/>
  <c r="J70" i="3"/>
  <c r="GF7" i="3"/>
  <c r="EM6" i="3"/>
  <c r="EO6" i="3" s="1"/>
  <c r="GG5" i="3" s="1"/>
  <c r="EG7" i="3"/>
  <c r="EG8" i="3"/>
  <c r="EG9" i="3"/>
  <c r="EF10" i="3"/>
  <c r="EF8" i="3"/>
  <c r="EL7" i="3"/>
  <c r="EI7" i="3" s="1"/>
  <c r="EF9" i="3"/>
  <c r="EK6" i="3"/>
  <c r="DK9" i="3"/>
  <c r="EH7" i="3" s="1"/>
  <c r="EG11" i="3"/>
  <c r="ED11" i="3"/>
  <c r="GC10" i="3"/>
  <c r="J72" i="3"/>
  <c r="GF9" i="3"/>
  <c r="D73" i="3"/>
  <c r="GS24" i="3"/>
  <c r="DM12" i="3"/>
  <c r="ET11" i="3"/>
  <c r="ER11" i="3"/>
  <c r="EQ11" i="3"/>
  <c r="EE11" i="3"/>
  <c r="EF11" i="3" l="1"/>
  <c r="EL11" i="3" s="1"/>
  <c r="DR12" i="3"/>
  <c r="DQ12" i="3"/>
  <c r="EB12" i="3"/>
  <c r="EF12" i="3" s="1"/>
  <c r="DP12" i="3"/>
  <c r="EJ6" i="3"/>
  <c r="ED12" i="3"/>
  <c r="EG12" i="3"/>
  <c r="GC11" i="3"/>
  <c r="EL9" i="3"/>
  <c r="EI9" i="3" s="1"/>
  <c r="EL8" i="3"/>
  <c r="EI8" i="3" s="1"/>
  <c r="EL10" i="3"/>
  <c r="EI10" i="3" s="1"/>
  <c r="J73" i="3"/>
  <c r="GF10" i="3"/>
  <c r="D74" i="3"/>
  <c r="GS25" i="3"/>
  <c r="GU21" i="3"/>
  <c r="EH11" i="3"/>
  <c r="EH9" i="3"/>
  <c r="EH10" i="3"/>
  <c r="EH8" i="3"/>
  <c r="DM13" i="3"/>
  <c r="EQ12" i="3"/>
  <c r="EH12" i="3"/>
  <c r="EE12" i="3"/>
  <c r="ET12" i="3"/>
  <c r="ER12" i="3"/>
  <c r="EC12" i="3" l="1"/>
  <c r="EL12" i="3" s="1"/>
  <c r="DQ13" i="3"/>
  <c r="EB13" i="3"/>
  <c r="EC13" i="3" s="1"/>
  <c r="DR13" i="3"/>
  <c r="DP13" i="3"/>
  <c r="ED13" i="3"/>
  <c r="EG13" i="3"/>
  <c r="GC12" i="3"/>
  <c r="J74" i="3"/>
  <c r="GF11" i="3"/>
  <c r="EI11" i="3"/>
  <c r="D75" i="3"/>
  <c r="GS26" i="3"/>
  <c r="DM14" i="3"/>
  <c r="EQ13" i="3"/>
  <c r="EH13" i="3"/>
  <c r="EE13" i="3"/>
  <c r="ET13" i="3"/>
  <c r="ER13" i="3"/>
  <c r="GU22" i="3"/>
  <c r="EF13" i="3" l="1"/>
  <c r="EL13" i="3" s="1"/>
  <c r="DR14" i="3"/>
  <c r="DQ14" i="3"/>
  <c r="EB14" i="3"/>
  <c r="EF14" i="3" s="1"/>
  <c r="DP14" i="3"/>
  <c r="EG14" i="3"/>
  <c r="ED14" i="3"/>
  <c r="GC13" i="3"/>
  <c r="J75" i="3"/>
  <c r="GF12" i="3"/>
  <c r="EI12" i="3"/>
  <c r="D76" i="3"/>
  <c r="GS27" i="3"/>
  <c r="DM15" i="3"/>
  <c r="EQ14" i="3"/>
  <c r="EH14" i="3"/>
  <c r="EE14" i="3"/>
  <c r="ET14" i="3"/>
  <c r="ER14" i="3"/>
  <c r="EC14" i="3" l="1"/>
  <c r="EL14" i="3" s="1"/>
  <c r="DQ15" i="3"/>
  <c r="DR15" i="3"/>
  <c r="EB15" i="3"/>
  <c r="EF15" i="3" s="1"/>
  <c r="DP15" i="3"/>
  <c r="EG15" i="3"/>
  <c r="ED15" i="3"/>
  <c r="GC14" i="3"/>
  <c r="J76" i="3"/>
  <c r="GF13" i="3"/>
  <c r="EI13" i="3"/>
  <c r="D77" i="3"/>
  <c r="GS28" i="3"/>
  <c r="GQ28" i="3" s="1"/>
  <c r="DM16" i="3"/>
  <c r="EQ15" i="3"/>
  <c r="EH15" i="3"/>
  <c r="EE15" i="3"/>
  <c r="ET15" i="3"/>
  <c r="ER15" i="3"/>
  <c r="EC15" i="3" l="1"/>
  <c r="DR16" i="3"/>
  <c r="DQ16" i="3"/>
  <c r="EB16" i="3"/>
  <c r="EF16" i="3" s="1"/>
  <c r="DP16" i="3"/>
  <c r="ED16" i="3"/>
  <c r="EG16" i="3"/>
  <c r="GC15" i="3"/>
  <c r="EL15" i="3"/>
  <c r="J77" i="3"/>
  <c r="GF14" i="3"/>
  <c r="EI14" i="3"/>
  <c r="D78" i="3"/>
  <c r="GS29" i="3"/>
  <c r="GQ29" i="3" s="1"/>
  <c r="GR28" i="3"/>
  <c r="DM17" i="3"/>
  <c r="EQ16" i="3"/>
  <c r="EH16" i="3"/>
  <c r="EE16" i="3"/>
  <c r="ET16" i="3"/>
  <c r="ER16" i="3"/>
  <c r="EC16" i="3" l="1"/>
  <c r="EL16" i="3" s="1"/>
  <c r="DQ17" i="3"/>
  <c r="DR17" i="3"/>
  <c r="EB17" i="3"/>
  <c r="EF17" i="3" s="1"/>
  <c r="DP17" i="3"/>
  <c r="ED17" i="3"/>
  <c r="EG17" i="3"/>
  <c r="GC16" i="3"/>
  <c r="J78" i="3"/>
  <c r="GF15" i="3"/>
  <c r="EI15" i="3"/>
  <c r="D79" i="3"/>
  <c r="GR29" i="3"/>
  <c r="EQ17" i="3"/>
  <c r="DM18" i="3"/>
  <c r="ET17" i="3"/>
  <c r="ER17" i="3"/>
  <c r="EH17" i="3"/>
  <c r="EE17" i="3"/>
  <c r="EC17" i="3" l="1"/>
  <c r="EL17" i="3" s="1"/>
  <c r="DR18" i="3"/>
  <c r="DQ18" i="3"/>
  <c r="EB18" i="3"/>
  <c r="EF18" i="3" s="1"/>
  <c r="DP18" i="3"/>
  <c r="EG18" i="3"/>
  <c r="ED18" i="3"/>
  <c r="GC17" i="3"/>
  <c r="J79" i="3"/>
  <c r="GF16" i="3"/>
  <c r="EI16" i="3"/>
  <c r="D80" i="3"/>
  <c r="DM19" i="3"/>
  <c r="ET18" i="3"/>
  <c r="ER18" i="3"/>
  <c r="EQ18" i="3"/>
  <c r="EH18" i="3"/>
  <c r="EE18" i="3"/>
  <c r="EC18" i="3" l="1"/>
  <c r="EL18" i="3" s="1"/>
  <c r="DQ19" i="3"/>
  <c r="DR19" i="3"/>
  <c r="EB19" i="3"/>
  <c r="EF19" i="3" s="1"/>
  <c r="DP19" i="3"/>
  <c r="EG19" i="3"/>
  <c r="ED19" i="3"/>
  <c r="GC18" i="3"/>
  <c r="J80" i="3"/>
  <c r="GF17" i="3"/>
  <c r="EI17" i="3"/>
  <c r="D81" i="3"/>
  <c r="EE19" i="3"/>
  <c r="DM20" i="3"/>
  <c r="ET19" i="3"/>
  <c r="ER19" i="3"/>
  <c r="EQ19" i="3"/>
  <c r="EH19" i="3"/>
  <c r="EC19" i="3" l="1"/>
  <c r="EL19" i="3" s="1"/>
  <c r="DR20" i="3"/>
  <c r="DQ20" i="3"/>
  <c r="EB20" i="3"/>
  <c r="EF20" i="3" s="1"/>
  <c r="DP20" i="3"/>
  <c r="EG20" i="3"/>
  <c r="ED20" i="3"/>
  <c r="GC19" i="3"/>
  <c r="J81" i="3"/>
  <c r="GF18" i="3"/>
  <c r="EI18" i="3"/>
  <c r="D82" i="3"/>
  <c r="EE20" i="3"/>
  <c r="DM21" i="3"/>
  <c r="ET20" i="3"/>
  <c r="ER20" i="3"/>
  <c r="EQ20" i="3"/>
  <c r="EH20" i="3"/>
  <c r="EC20" i="3" l="1"/>
  <c r="EL20" i="3" s="1"/>
  <c r="DQ21" i="3"/>
  <c r="DR21" i="3"/>
  <c r="EB21" i="3"/>
  <c r="EF21" i="3" s="1"/>
  <c r="DP21" i="3"/>
  <c r="ED21" i="3"/>
  <c r="EG21" i="3"/>
  <c r="GC20" i="3"/>
  <c r="J82" i="3"/>
  <c r="GF19" i="3"/>
  <c r="EI19" i="3"/>
  <c r="D83" i="3"/>
  <c r="ET21" i="3"/>
  <c r="ER21" i="3"/>
  <c r="DM22" i="3"/>
  <c r="EQ21" i="3"/>
  <c r="EH21" i="3"/>
  <c r="EE21" i="3"/>
  <c r="EC21" i="3" l="1"/>
  <c r="EL21" i="3" s="1"/>
  <c r="DR22" i="3"/>
  <c r="DQ22" i="3"/>
  <c r="EB22" i="3"/>
  <c r="EF22" i="3" s="1"/>
  <c r="DP22" i="3"/>
  <c r="ED22" i="3"/>
  <c r="EG22" i="3"/>
  <c r="GC21" i="3"/>
  <c r="J83" i="3"/>
  <c r="GF20" i="3"/>
  <c r="EI20" i="3"/>
  <c r="D84" i="3"/>
  <c r="DM23" i="3"/>
  <c r="EQ22" i="3"/>
  <c r="EH22" i="3"/>
  <c r="EE22" i="3"/>
  <c r="ET22" i="3"/>
  <c r="ER22" i="3"/>
  <c r="EC22" i="3" l="1"/>
  <c r="EL22" i="3" s="1"/>
  <c r="DQ23" i="3"/>
  <c r="EB23" i="3"/>
  <c r="EC23" i="3" s="1"/>
  <c r="DR23" i="3"/>
  <c r="DP23" i="3"/>
  <c r="EG23" i="3"/>
  <c r="ED23" i="3"/>
  <c r="GC22" i="3"/>
  <c r="J84" i="3"/>
  <c r="GF21" i="3"/>
  <c r="EI21" i="3"/>
  <c r="D85" i="3"/>
  <c r="ER23" i="3"/>
  <c r="EQ23" i="3"/>
  <c r="EH23" i="3"/>
  <c r="EE23" i="3"/>
  <c r="DM24" i="3"/>
  <c r="ET23" i="3"/>
  <c r="EF23" i="3" l="1"/>
  <c r="EL23" i="3" s="1"/>
  <c r="DR24" i="3"/>
  <c r="DQ24" i="3"/>
  <c r="EB24" i="3"/>
  <c r="EF24" i="3" s="1"/>
  <c r="DP24" i="3"/>
  <c r="EG24" i="3"/>
  <c r="ED24" i="3"/>
  <c r="GC23" i="3"/>
  <c r="J85" i="3"/>
  <c r="GF22" i="3"/>
  <c r="EI22" i="3"/>
  <c r="D86" i="3"/>
  <c r="DM25" i="3"/>
  <c r="EQ24" i="3"/>
  <c r="EH24" i="3"/>
  <c r="EE24" i="3"/>
  <c r="ET24" i="3"/>
  <c r="ER24" i="3"/>
  <c r="EC24" i="3" l="1"/>
  <c r="DQ25" i="3"/>
  <c r="DR25" i="3"/>
  <c r="EB25" i="3"/>
  <c r="EC25" i="3" s="1"/>
  <c r="DP25" i="3"/>
  <c r="ED25" i="3"/>
  <c r="EG25" i="3"/>
  <c r="GC24" i="3"/>
  <c r="EI23" i="3"/>
  <c r="D87" i="3"/>
  <c r="DM26" i="3"/>
  <c r="ET25" i="3"/>
  <c r="ER25" i="3"/>
  <c r="EQ25" i="3"/>
  <c r="EH25" i="3"/>
  <c r="EE25" i="3"/>
  <c r="DR26" i="3" l="1"/>
  <c r="DQ26" i="3"/>
  <c r="EB26" i="3"/>
  <c r="EF26" i="3" s="1"/>
  <c r="DP26" i="3"/>
  <c r="EF25" i="3"/>
  <c r="EG26" i="3"/>
  <c r="ED26" i="3"/>
  <c r="GC25" i="3"/>
  <c r="J87" i="3"/>
  <c r="GF24" i="3"/>
  <c r="D88" i="3"/>
  <c r="DM27" i="3"/>
  <c r="EH26" i="3"/>
  <c r="ET26" i="3"/>
  <c r="ER26" i="3"/>
  <c r="EQ26" i="3"/>
  <c r="EE26" i="3"/>
  <c r="EC26" i="3" l="1"/>
  <c r="DQ27" i="3"/>
  <c r="DR27" i="3"/>
  <c r="EB27" i="3"/>
  <c r="EF27" i="3" s="1"/>
  <c r="DP27" i="3"/>
  <c r="EG27" i="3"/>
  <c r="ED27" i="3"/>
  <c r="GC26" i="3"/>
  <c r="J88" i="3"/>
  <c r="GF25" i="3"/>
  <c r="D89" i="3"/>
  <c r="DM28" i="3"/>
  <c r="EE27" i="3"/>
  <c r="ET27" i="3"/>
  <c r="ER27" i="3"/>
  <c r="EQ27" i="3"/>
  <c r="EH27" i="3"/>
  <c r="EC27" i="3" l="1"/>
  <c r="DR28" i="3"/>
  <c r="DQ28" i="3"/>
  <c r="EB28" i="3"/>
  <c r="EF28" i="3" s="1"/>
  <c r="DP28" i="3"/>
  <c r="ED28" i="3"/>
  <c r="EG28" i="3"/>
  <c r="GC27" i="3"/>
  <c r="J89" i="3"/>
  <c r="GF26" i="3"/>
  <c r="D90" i="3"/>
  <c r="DM29" i="3"/>
  <c r="ET28" i="3"/>
  <c r="ER28" i="3"/>
  <c r="EQ28" i="3"/>
  <c r="EH28" i="3"/>
  <c r="EE28" i="3"/>
  <c r="EC28" i="3" l="1"/>
  <c r="DQ29" i="3"/>
  <c r="DR29" i="3"/>
  <c r="EB29" i="3"/>
  <c r="EF29" i="3" s="1"/>
  <c r="DP29" i="3"/>
  <c r="ED29" i="3"/>
  <c r="EG29" i="3"/>
  <c r="GC28" i="3"/>
  <c r="J90" i="3"/>
  <c r="GF27" i="3"/>
  <c r="D91" i="3"/>
  <c r="ET29" i="3"/>
  <c r="ER29" i="3"/>
  <c r="DM30" i="3"/>
  <c r="EQ29" i="3"/>
  <c r="EH29" i="3"/>
  <c r="EE29" i="3"/>
  <c r="EC29" i="3" l="1"/>
  <c r="DR30" i="3"/>
  <c r="DQ30" i="3"/>
  <c r="EB30" i="3"/>
  <c r="EF30" i="3" s="1"/>
  <c r="DP30" i="3"/>
  <c r="ED30" i="3"/>
  <c r="EG30" i="3"/>
  <c r="GC29" i="3"/>
  <c r="J91" i="3"/>
  <c r="GF28" i="3"/>
  <c r="D92" i="3"/>
  <c r="DM31" i="3"/>
  <c r="EQ30" i="3"/>
  <c r="EH30" i="3"/>
  <c r="EE30" i="3"/>
  <c r="ET30" i="3"/>
  <c r="ER30" i="3"/>
  <c r="EC30" i="3" l="1"/>
  <c r="DQ31" i="3"/>
  <c r="DR31" i="3"/>
  <c r="EB31" i="3"/>
  <c r="EF31" i="3" s="1"/>
  <c r="DP31" i="3"/>
  <c r="EG31" i="3"/>
  <c r="ED31" i="3"/>
  <c r="GC30" i="3"/>
  <c r="J92" i="3"/>
  <c r="GF29" i="3"/>
  <c r="D93" i="3"/>
  <c r="DM32" i="3"/>
  <c r="EQ31" i="3"/>
  <c r="EH31" i="3"/>
  <c r="EE31" i="3"/>
  <c r="ET31" i="3"/>
  <c r="ER31" i="3"/>
  <c r="EC31" i="3" l="1"/>
  <c r="DR32" i="3"/>
  <c r="DQ32" i="3"/>
  <c r="EB32" i="3"/>
  <c r="EF32" i="3" s="1"/>
  <c r="DP32" i="3"/>
  <c r="ED32" i="3"/>
  <c r="EG32" i="3"/>
  <c r="J93" i="3"/>
  <c r="GF30" i="3"/>
  <c r="D94" i="3"/>
  <c r="GC31" i="3"/>
  <c r="DM33" i="3"/>
  <c r="ET32" i="3"/>
  <c r="ER32" i="3"/>
  <c r="EQ32" i="3"/>
  <c r="EH32" i="3"/>
  <c r="EE32" i="3"/>
  <c r="EC32" i="3" l="1"/>
  <c r="DQ33" i="3"/>
  <c r="DR33" i="3"/>
  <c r="EB33" i="3"/>
  <c r="EC33" i="3" s="1"/>
  <c r="DP33" i="3"/>
  <c r="ED33" i="3"/>
  <c r="EG33" i="3"/>
  <c r="J94" i="3"/>
  <c r="GF31" i="3"/>
  <c r="D95" i="3"/>
  <c r="GC32" i="3"/>
  <c r="DM34" i="3"/>
  <c r="EQ33" i="3"/>
  <c r="EH33" i="3"/>
  <c r="EE33" i="3"/>
  <c r="ET33" i="3"/>
  <c r="ER33" i="3"/>
  <c r="EF33" i="3" l="1"/>
  <c r="DR34" i="3"/>
  <c r="EB34" i="3"/>
  <c r="EC34" i="3" s="1"/>
  <c r="DQ34" i="3"/>
  <c r="DP34" i="3"/>
  <c r="EG34" i="3"/>
  <c r="ED34" i="3"/>
  <c r="J95" i="3"/>
  <c r="GF32" i="3"/>
  <c r="D96" i="3"/>
  <c r="GC33" i="3"/>
  <c r="ET34" i="3"/>
  <c r="ER34" i="3"/>
  <c r="DM35" i="3"/>
  <c r="EQ34" i="3"/>
  <c r="EH34" i="3"/>
  <c r="EE34" i="3"/>
  <c r="EF34" i="3" l="1"/>
  <c r="DQ35" i="3"/>
  <c r="DR35" i="3"/>
  <c r="EB35" i="3"/>
  <c r="EC35" i="3" s="1"/>
  <c r="DP35" i="3"/>
  <c r="EG35" i="3"/>
  <c r="ED35" i="3"/>
  <c r="J96" i="3"/>
  <c r="GF33" i="3"/>
  <c r="D97" i="3"/>
  <c r="GC34" i="3"/>
  <c r="EE35" i="3"/>
  <c r="DM36" i="3"/>
  <c r="ET35" i="3"/>
  <c r="ER35" i="3"/>
  <c r="EQ35" i="3"/>
  <c r="EH35" i="3"/>
  <c r="DR36" i="3" l="1"/>
  <c r="DQ36" i="3"/>
  <c r="EB36" i="3"/>
  <c r="EF36" i="3" s="1"/>
  <c r="DP36" i="3"/>
  <c r="EF35" i="3"/>
  <c r="ED36" i="3"/>
  <c r="EG36" i="3"/>
  <c r="J97" i="3"/>
  <c r="GF34" i="3"/>
  <c r="D98" i="3"/>
  <c r="GC35" i="3"/>
  <c r="DM37" i="3"/>
  <c r="EQ36" i="3"/>
  <c r="EH36" i="3"/>
  <c r="EE36" i="3"/>
  <c r="ET36" i="3"/>
  <c r="ER36" i="3"/>
  <c r="EC36" i="3" l="1"/>
  <c r="DQ37" i="3"/>
  <c r="DR37" i="3"/>
  <c r="EB37" i="3"/>
  <c r="EC37" i="3" s="1"/>
  <c r="DP37" i="3"/>
  <c r="ED37" i="3"/>
  <c r="EG37" i="3"/>
  <c r="J98" i="3"/>
  <c r="GF35" i="3"/>
  <c r="D99" i="3"/>
  <c r="GC36" i="3"/>
  <c r="DM38" i="3"/>
  <c r="EQ37" i="3"/>
  <c r="EH37" i="3"/>
  <c r="EE37" i="3"/>
  <c r="ET37" i="3"/>
  <c r="ER37" i="3"/>
  <c r="EF37" i="3" l="1"/>
  <c r="DR38" i="3"/>
  <c r="DQ38" i="3"/>
  <c r="EB38" i="3"/>
  <c r="EC38" i="3" s="1"/>
  <c r="DP38" i="3"/>
  <c r="EG38" i="3"/>
  <c r="ED38" i="3"/>
  <c r="J99" i="3"/>
  <c r="GF36" i="3"/>
  <c r="D100" i="3"/>
  <c r="M99" i="3"/>
  <c r="GC37" i="3"/>
  <c r="EQ38" i="3"/>
  <c r="EE38" i="3"/>
  <c r="DM39" i="3"/>
  <c r="ET38" i="3"/>
  <c r="ER38" i="3"/>
  <c r="EH38" i="3"/>
  <c r="EF38" i="3" l="1"/>
  <c r="DQ39" i="3"/>
  <c r="DR39" i="3"/>
  <c r="EB39" i="3"/>
  <c r="EC39" i="3" s="1"/>
  <c r="DP39" i="3"/>
  <c r="EG39" i="3"/>
  <c r="ED39" i="3"/>
  <c r="J100" i="3"/>
  <c r="GF37" i="3"/>
  <c r="D101" i="3"/>
  <c r="GC38" i="3"/>
  <c r="DM40" i="3"/>
  <c r="ET39" i="3"/>
  <c r="ER39" i="3"/>
  <c r="EE39" i="3"/>
  <c r="EQ39" i="3"/>
  <c r="EF39" i="3" l="1"/>
  <c r="DR40" i="3"/>
  <c r="DQ40" i="3"/>
  <c r="EB40" i="3"/>
  <c r="EC40" i="3" s="1"/>
  <c r="DP40" i="3"/>
  <c r="EG40" i="3"/>
  <c r="ED40" i="3"/>
  <c r="J101" i="3"/>
  <c r="GF38" i="3"/>
  <c r="D102" i="3"/>
  <c r="GC39" i="3"/>
  <c r="DM41" i="3"/>
  <c r="ET40" i="3"/>
  <c r="ER40" i="3"/>
  <c r="EE40" i="3"/>
  <c r="EQ40" i="3"/>
  <c r="EH40" i="3"/>
  <c r="EF40" i="3" l="1"/>
  <c r="DQ41" i="3"/>
  <c r="DR41" i="3"/>
  <c r="EB41" i="3"/>
  <c r="EC41" i="3" s="1"/>
  <c r="DP41" i="3"/>
  <c r="ED41" i="3"/>
  <c r="EG41" i="3"/>
  <c r="J102" i="3"/>
  <c r="GF39" i="3"/>
  <c r="D103" i="3"/>
  <c r="GC40" i="3"/>
  <c r="DM42" i="3"/>
  <c r="ER41" i="3"/>
  <c r="EQ41" i="3"/>
  <c r="EH41" i="3"/>
  <c r="EE41" i="3"/>
  <c r="EF41" i="3" l="1"/>
  <c r="DR42" i="3"/>
  <c r="DQ42" i="3"/>
  <c r="EB42" i="3"/>
  <c r="EC42" i="3" s="1"/>
  <c r="DP42" i="3"/>
  <c r="EG42" i="3"/>
  <c r="ED42" i="3"/>
  <c r="J103" i="3"/>
  <c r="GF40" i="3"/>
  <c r="D104" i="3"/>
  <c r="GC41" i="3"/>
  <c r="DM43" i="3"/>
  <c r="EQ42" i="3"/>
  <c r="EH42" i="3"/>
  <c r="EE42" i="3"/>
  <c r="ET42" i="3"/>
  <c r="ER42" i="3"/>
  <c r="EF42" i="3" l="1"/>
  <c r="DQ43" i="3"/>
  <c r="DR43" i="3"/>
  <c r="EB43" i="3"/>
  <c r="EC43" i="3" s="1"/>
  <c r="DP43" i="3"/>
  <c r="EG43" i="3"/>
  <c r="ED43" i="3"/>
  <c r="J104" i="3"/>
  <c r="GF41" i="3"/>
  <c r="D105" i="3"/>
  <c r="GC42" i="3"/>
  <c r="DM44" i="3"/>
  <c r="EQ43" i="3"/>
  <c r="EH43" i="3"/>
  <c r="EE43" i="3"/>
  <c r="ET43" i="3"/>
  <c r="ER43" i="3"/>
  <c r="EF43" i="3" l="1"/>
  <c r="DR44" i="3"/>
  <c r="DQ44" i="3"/>
  <c r="EB44" i="3"/>
  <c r="EC44" i="3" s="1"/>
  <c r="DP44" i="3"/>
  <c r="ED44" i="3"/>
  <c r="EG44" i="3"/>
  <c r="J105" i="3"/>
  <c r="GF42" i="3"/>
  <c r="D106" i="3"/>
  <c r="GC43" i="3"/>
  <c r="DM45" i="3"/>
  <c r="EQ44" i="3"/>
  <c r="EH44" i="3"/>
  <c r="EE44" i="3"/>
  <c r="ET44" i="3"/>
  <c r="ER44" i="3"/>
  <c r="EF44" i="3" l="1"/>
  <c r="DQ45" i="3"/>
  <c r="EB45" i="3"/>
  <c r="EC45" i="3" s="1"/>
  <c r="DR45" i="3"/>
  <c r="DP45" i="3"/>
  <c r="ED45" i="3"/>
  <c r="EG45" i="3"/>
  <c r="J106" i="3"/>
  <c r="GF43" i="3"/>
  <c r="D107" i="3"/>
  <c r="GC44" i="3"/>
  <c r="EQ45" i="3"/>
  <c r="EH45" i="3"/>
  <c r="EE45" i="3"/>
  <c r="DM46" i="3"/>
  <c r="ET45" i="3"/>
  <c r="ER45" i="3"/>
  <c r="EF45" i="3" l="1"/>
  <c r="DR46" i="3"/>
  <c r="DQ46" i="3"/>
  <c r="EB46" i="3"/>
  <c r="EC46" i="3" s="1"/>
  <c r="DP46" i="3"/>
  <c r="EG46" i="3"/>
  <c r="ED46" i="3"/>
  <c r="J107" i="3"/>
  <c r="GF44" i="3"/>
  <c r="D108" i="3"/>
  <c r="GC45" i="3"/>
  <c r="ET46" i="3"/>
  <c r="ER46" i="3"/>
  <c r="DM47" i="3"/>
  <c r="EQ46" i="3"/>
  <c r="EH46" i="3"/>
  <c r="EE46" i="3"/>
  <c r="EF46" i="3" l="1"/>
  <c r="DQ47" i="3"/>
  <c r="DR47" i="3"/>
  <c r="EB47" i="3"/>
  <c r="EC47" i="3" s="1"/>
  <c r="DP47" i="3"/>
  <c r="EG47" i="3"/>
  <c r="ED47" i="3"/>
  <c r="J108" i="3"/>
  <c r="GF45" i="3"/>
  <c r="D109" i="3"/>
  <c r="GC46" i="3"/>
  <c r="DM48" i="3"/>
  <c r="ET47" i="3"/>
  <c r="ER47" i="3"/>
  <c r="EQ47" i="3"/>
  <c r="EH47" i="3"/>
  <c r="EE47" i="3"/>
  <c r="EF47" i="3" l="1"/>
  <c r="DR48" i="3"/>
  <c r="DQ48" i="3"/>
  <c r="EB48" i="3"/>
  <c r="EC48" i="3" s="1"/>
  <c r="DP48" i="3"/>
  <c r="EG48" i="3"/>
  <c r="ED48" i="3"/>
  <c r="J109" i="3"/>
  <c r="GF46" i="3"/>
  <c r="D110" i="3"/>
  <c r="GC47" i="3"/>
  <c r="DM49" i="3"/>
  <c r="ET48" i="3"/>
  <c r="ER48" i="3"/>
  <c r="EH48" i="3"/>
  <c r="EE48" i="3"/>
  <c r="EQ48" i="3"/>
  <c r="EF48" i="3" l="1"/>
  <c r="DQ49" i="3"/>
  <c r="DR49" i="3"/>
  <c r="EB49" i="3"/>
  <c r="EC49" i="3" s="1"/>
  <c r="DP49" i="3"/>
  <c r="ED49" i="3"/>
  <c r="EG49" i="3"/>
  <c r="J110" i="3"/>
  <c r="GF47" i="3"/>
  <c r="D111" i="3"/>
  <c r="GC48" i="3"/>
  <c r="EE49" i="3"/>
  <c r="DM50" i="3"/>
  <c r="ET49" i="3"/>
  <c r="ER49" i="3"/>
  <c r="EQ49" i="3"/>
  <c r="EH49" i="3"/>
  <c r="DR50" i="3" l="1"/>
  <c r="DQ50" i="3"/>
  <c r="EB50" i="3"/>
  <c r="EF50" i="3" s="1"/>
  <c r="DP50" i="3"/>
  <c r="EF49" i="3"/>
  <c r="EG50" i="3"/>
  <c r="ED50" i="3"/>
  <c r="J111" i="3"/>
  <c r="GF48" i="3"/>
  <c r="D112" i="3"/>
  <c r="GC49" i="3"/>
  <c r="DM51" i="3"/>
  <c r="ET50" i="3"/>
  <c r="ER50" i="3"/>
  <c r="EQ50" i="3"/>
  <c r="EH50" i="3"/>
  <c r="EE50" i="3"/>
  <c r="EC50" i="3" l="1"/>
  <c r="DQ51" i="3"/>
  <c r="DR51" i="3"/>
  <c r="EB51" i="3"/>
  <c r="EF51" i="3" s="1"/>
  <c r="DP51" i="3"/>
  <c r="EG51" i="3"/>
  <c r="ED51" i="3"/>
  <c r="J112" i="3"/>
  <c r="GF49" i="3"/>
  <c r="D113" i="3"/>
  <c r="GC50" i="3"/>
  <c r="DM52" i="3"/>
  <c r="ET51" i="3"/>
  <c r="ER51" i="3"/>
  <c r="EH51" i="3"/>
  <c r="EE51" i="3"/>
  <c r="EQ51" i="3"/>
  <c r="EC51" i="3" l="1"/>
  <c r="DR52" i="3"/>
  <c r="DQ52" i="3"/>
  <c r="EB52" i="3"/>
  <c r="EC52" i="3" s="1"/>
  <c r="DP52" i="3"/>
  <c r="EG52" i="3"/>
  <c r="ED52" i="3"/>
  <c r="J113" i="3"/>
  <c r="GF50" i="3"/>
  <c r="D114" i="3"/>
  <c r="GC51" i="3"/>
  <c r="DM53" i="3"/>
  <c r="ET52" i="3"/>
  <c r="EH52" i="3"/>
  <c r="EQ52" i="3"/>
  <c r="ER52" i="3"/>
  <c r="EE52" i="3"/>
  <c r="EF52" i="3" l="1"/>
  <c r="DQ53" i="3"/>
  <c r="DR53" i="3"/>
  <c r="EB53" i="3"/>
  <c r="EF53" i="3" s="1"/>
  <c r="DP53" i="3"/>
  <c r="ED53" i="3"/>
  <c r="EG53" i="3"/>
  <c r="J114" i="3"/>
  <c r="GF51" i="3"/>
  <c r="D115" i="3"/>
  <c r="GC52" i="3"/>
  <c r="DM54" i="3"/>
  <c r="ER53" i="3"/>
  <c r="EH53" i="3"/>
  <c r="EE53" i="3"/>
  <c r="EQ53" i="3"/>
  <c r="EC53" i="3" l="1"/>
  <c r="DR54" i="3"/>
  <c r="DQ54" i="3"/>
  <c r="EB54" i="3"/>
  <c r="EC54" i="3" s="1"/>
  <c r="DP54" i="3"/>
  <c r="EG54" i="3"/>
  <c r="ED54" i="3"/>
  <c r="J115" i="3"/>
  <c r="GF52" i="3"/>
  <c r="D116" i="3"/>
  <c r="GC53" i="3"/>
  <c r="DM55" i="3"/>
  <c r="ET54" i="3"/>
  <c r="ER54" i="3"/>
  <c r="EH54" i="3"/>
  <c r="EE54" i="3"/>
  <c r="EQ54" i="3"/>
  <c r="EF54" i="3" l="1"/>
  <c r="DQ55" i="3"/>
  <c r="EB55" i="3"/>
  <c r="EC55" i="3" s="1"/>
  <c r="DR55" i="3"/>
  <c r="DP55" i="3"/>
  <c r="EG55" i="3"/>
  <c r="ED55" i="3"/>
  <c r="J116" i="3"/>
  <c r="GF53" i="3"/>
  <c r="D117" i="3"/>
  <c r="GC54" i="3"/>
  <c r="DM56" i="3"/>
  <c r="ET55" i="3"/>
  <c r="ER55" i="3"/>
  <c r="EH55" i="3"/>
  <c r="EE55" i="3"/>
  <c r="EQ55" i="3"/>
  <c r="EF55" i="3" l="1"/>
  <c r="DR56" i="3"/>
  <c r="DQ56" i="3"/>
  <c r="EB56" i="3"/>
  <c r="EC56" i="3" s="1"/>
  <c r="DP56" i="3"/>
  <c r="EG56" i="3"/>
  <c r="ED56" i="3"/>
  <c r="J117" i="3"/>
  <c r="GF54" i="3"/>
  <c r="D118" i="3"/>
  <c r="GC55" i="3"/>
  <c r="DM57" i="3"/>
  <c r="EQ56" i="3"/>
  <c r="EE56" i="3"/>
  <c r="ET56" i="3"/>
  <c r="ER56" i="3"/>
  <c r="EH56" i="3"/>
  <c r="EF56" i="3" l="1"/>
  <c r="DQ57" i="3"/>
  <c r="DR57" i="3"/>
  <c r="EB57" i="3"/>
  <c r="EC57" i="3" s="1"/>
  <c r="DP57" i="3"/>
  <c r="ED57" i="3"/>
  <c r="EG57" i="3"/>
  <c r="J118" i="3"/>
  <c r="GF55" i="3"/>
  <c r="DM58" i="3"/>
  <c r="D119" i="3"/>
  <c r="GC56" i="3"/>
  <c r="EQ57" i="3"/>
  <c r="EE57" i="3"/>
  <c r="ET57" i="3"/>
  <c r="ER57" i="3"/>
  <c r="EH57" i="3"/>
  <c r="EF57" i="3" l="1"/>
  <c r="DR58" i="3"/>
  <c r="DQ58" i="3"/>
  <c r="EB58" i="3"/>
  <c r="EC58" i="3" s="1"/>
  <c r="DP58" i="3"/>
  <c r="ED58" i="3"/>
  <c r="EG58" i="3"/>
  <c r="J119" i="3"/>
  <c r="GF56" i="3"/>
  <c r="DM59" i="3"/>
  <c r="D120" i="3"/>
  <c r="GC57" i="3"/>
  <c r="ET58" i="3"/>
  <c r="ER58" i="3"/>
  <c r="EQ58" i="3"/>
  <c r="EH58" i="3"/>
  <c r="EE58" i="3"/>
  <c r="DQ59" i="3" l="1"/>
  <c r="DR59" i="3"/>
  <c r="EB59" i="3"/>
  <c r="EF59" i="3" s="1"/>
  <c r="DP59" i="3"/>
  <c r="EF58" i="3"/>
  <c r="EG59" i="3"/>
  <c r="ED59" i="3"/>
  <c r="J120" i="3"/>
  <c r="GF57" i="3"/>
  <c r="DM60" i="3"/>
  <c r="D121" i="3"/>
  <c r="GC58" i="3"/>
  <c r="ET59" i="3"/>
  <c r="ER59" i="3"/>
  <c r="EH59" i="3"/>
  <c r="EE59" i="3"/>
  <c r="EQ59" i="3"/>
  <c r="EC59" i="3" l="1"/>
  <c r="DR60" i="3"/>
  <c r="DQ60" i="3"/>
  <c r="EB60" i="3"/>
  <c r="EF60" i="3" s="1"/>
  <c r="DP60" i="3"/>
  <c r="ED60" i="3"/>
  <c r="EG60" i="3"/>
  <c r="J121" i="3"/>
  <c r="GF58" i="3"/>
  <c r="DM61" i="3"/>
  <c r="D122" i="3"/>
  <c r="GC59" i="3"/>
  <c r="EQ60" i="3"/>
  <c r="EH60" i="3"/>
  <c r="EE60" i="3"/>
  <c r="ET60" i="3"/>
  <c r="ER60" i="3"/>
  <c r="EC60" i="3" l="1"/>
  <c r="DQ61" i="3"/>
  <c r="DR61" i="3"/>
  <c r="EB61" i="3"/>
  <c r="EC61" i="3" s="1"/>
  <c r="DP61" i="3"/>
  <c r="ED61" i="3"/>
  <c r="EG61" i="3"/>
  <c r="J122" i="3"/>
  <c r="GF59" i="3"/>
  <c r="DM62" i="3"/>
  <c r="D123" i="3"/>
  <c r="GC60" i="3"/>
  <c r="ET61" i="3"/>
  <c r="ER61" i="3"/>
  <c r="EH61" i="3"/>
  <c r="EE61" i="3"/>
  <c r="EQ61" i="3"/>
  <c r="EF61" i="3" l="1"/>
  <c r="DR62" i="3"/>
  <c r="DQ62" i="3"/>
  <c r="EB62" i="3"/>
  <c r="EC62" i="3" s="1"/>
  <c r="DP62" i="3"/>
  <c r="EG62" i="3"/>
  <c r="ED62" i="3"/>
  <c r="J123" i="3"/>
  <c r="GF60" i="3"/>
  <c r="DM63" i="3"/>
  <c r="D124" i="3"/>
  <c r="GC61" i="3"/>
  <c r="EQ62" i="3"/>
  <c r="EH62" i="3"/>
  <c r="EE62" i="3"/>
  <c r="ET62" i="3"/>
  <c r="ER62" i="3"/>
  <c r="EF62" i="3" l="1"/>
  <c r="DQ63" i="3"/>
  <c r="DR63" i="3"/>
  <c r="EB63" i="3"/>
  <c r="EC63" i="3" s="1"/>
  <c r="DP63" i="3"/>
  <c r="EG63" i="3"/>
  <c r="ED63" i="3"/>
  <c r="J124" i="3"/>
  <c r="GF61" i="3"/>
  <c r="DM64" i="3"/>
  <c r="D125" i="3"/>
  <c r="GC62" i="3"/>
  <c r="ET63" i="3"/>
  <c r="ER63" i="3"/>
  <c r="EH63" i="3"/>
  <c r="EE63" i="3"/>
  <c r="EQ63" i="3"/>
  <c r="EF63" i="3" l="1"/>
  <c r="DR64" i="3"/>
  <c r="DQ64" i="3"/>
  <c r="EB64" i="3"/>
  <c r="EC64" i="3" s="1"/>
  <c r="DP64" i="3"/>
  <c r="ED64" i="3"/>
  <c r="EG64" i="3"/>
  <c r="J125" i="3"/>
  <c r="GF62" i="3"/>
  <c r="DM65" i="3"/>
  <c r="D126" i="3"/>
  <c r="GC63" i="3"/>
  <c r="ET64" i="3"/>
  <c r="ER64" i="3"/>
  <c r="EH64" i="3"/>
  <c r="EE64" i="3"/>
  <c r="EQ64" i="3"/>
  <c r="DQ65" i="3" l="1"/>
  <c r="DR65" i="3"/>
  <c r="EB65" i="3"/>
  <c r="EF65" i="3" s="1"/>
  <c r="DP65" i="3"/>
  <c r="EF64" i="3"/>
  <c r="ED65" i="3"/>
  <c r="EG65" i="3"/>
  <c r="J126" i="3"/>
  <c r="GF63" i="3"/>
  <c r="DM66" i="3"/>
  <c r="D127" i="3"/>
  <c r="GC64" i="3"/>
  <c r="EQ65" i="3"/>
  <c r="EH65" i="3"/>
  <c r="EE65" i="3"/>
  <c r="ET65" i="3"/>
  <c r="ER65" i="3"/>
  <c r="EC65" i="3" l="1"/>
  <c r="DR66" i="3"/>
  <c r="DQ66" i="3"/>
  <c r="EB66" i="3"/>
  <c r="EC66" i="3" s="1"/>
  <c r="DP66" i="3"/>
  <c r="EG66" i="3"/>
  <c r="ED66" i="3"/>
  <c r="J127" i="3"/>
  <c r="GF64" i="3"/>
  <c r="DM67" i="3"/>
  <c r="D128" i="3"/>
  <c r="GC65" i="3"/>
  <c r="ET66" i="3"/>
  <c r="ER66" i="3"/>
  <c r="EE66" i="3"/>
  <c r="EQ66" i="3"/>
  <c r="EH66" i="3"/>
  <c r="EF66" i="3" l="1"/>
  <c r="DQ67" i="3"/>
  <c r="DR67" i="3"/>
  <c r="EB67" i="3"/>
  <c r="EC67" i="3" s="1"/>
  <c r="DP67" i="3"/>
  <c r="EG67" i="3"/>
  <c r="ED67" i="3"/>
  <c r="J128" i="3"/>
  <c r="GF65" i="3"/>
  <c r="DM68" i="3"/>
  <c r="D129" i="3"/>
  <c r="GC66" i="3"/>
  <c r="ET67" i="3"/>
  <c r="ER67" i="3"/>
  <c r="EQ67" i="3"/>
  <c r="EH67" i="3"/>
  <c r="EE67" i="3"/>
  <c r="EF67" i="3" l="1"/>
  <c r="DR68" i="3"/>
  <c r="DQ68" i="3"/>
  <c r="EB68" i="3"/>
  <c r="EC68" i="3" s="1"/>
  <c r="DP68" i="3"/>
  <c r="ED68" i="3"/>
  <c r="EG68" i="3"/>
  <c r="J129" i="3"/>
  <c r="GF66" i="3"/>
  <c r="DM69" i="3"/>
  <c r="D130" i="3"/>
  <c r="GC67" i="3"/>
  <c r="EQ68" i="3"/>
  <c r="ET68" i="3"/>
  <c r="ER68" i="3"/>
  <c r="EH68" i="3"/>
  <c r="EE68" i="3"/>
  <c r="EF68" i="3" l="1"/>
  <c r="DQ69" i="3"/>
  <c r="DR69" i="3"/>
  <c r="EB69" i="3"/>
  <c r="EF69" i="3" s="1"/>
  <c r="DP69" i="3"/>
  <c r="ED69" i="3"/>
  <c r="EG69" i="3"/>
  <c r="J130" i="3"/>
  <c r="GF67" i="3"/>
  <c r="DM70" i="3"/>
  <c r="D131" i="3"/>
  <c r="GC68" i="3"/>
  <c r="ET69" i="3"/>
  <c r="ER69" i="3"/>
  <c r="EQ69" i="3"/>
  <c r="EH69" i="3"/>
  <c r="EE69" i="3"/>
  <c r="EC69" i="3" l="1"/>
  <c r="DR70" i="3"/>
  <c r="DQ70" i="3"/>
  <c r="EB70" i="3"/>
  <c r="EF70" i="3" s="1"/>
  <c r="DP70" i="3"/>
  <c r="ED70" i="3"/>
  <c r="EG70" i="3"/>
  <c r="DT70" i="3"/>
  <c r="J131" i="3"/>
  <c r="GF68" i="3"/>
  <c r="DM71" i="3"/>
  <c r="D132" i="3"/>
  <c r="GC69" i="3"/>
  <c r="EQ70" i="3"/>
  <c r="ET70" i="3"/>
  <c r="ER70" i="3"/>
  <c r="EH70" i="3"/>
  <c r="EE70" i="3"/>
  <c r="EC70" i="3" l="1"/>
  <c r="DQ71" i="3"/>
  <c r="DR71" i="3"/>
  <c r="EB71" i="3"/>
  <c r="EF71" i="3" s="1"/>
  <c r="DP71" i="3"/>
  <c r="EG71" i="3"/>
  <c r="ED71" i="3"/>
  <c r="J132" i="3"/>
  <c r="GF69" i="3"/>
  <c r="DM72" i="3"/>
  <c r="D133" i="3"/>
  <c r="GC70" i="3"/>
  <c r="EQ71" i="3"/>
  <c r="EH71" i="3"/>
  <c r="EE71" i="3"/>
  <c r="ET71" i="3"/>
  <c r="ER71" i="3"/>
  <c r="EC71" i="3" l="1"/>
  <c r="DR72" i="3"/>
  <c r="DQ72" i="3"/>
  <c r="EB72" i="3"/>
  <c r="EC72" i="3" s="1"/>
  <c r="DP72" i="3"/>
  <c r="EG72" i="3"/>
  <c r="ED72" i="3"/>
  <c r="J133" i="3"/>
  <c r="GF70" i="3"/>
  <c r="DM73" i="3"/>
  <c r="D134" i="3"/>
  <c r="GC71" i="3"/>
  <c r="ET72" i="3"/>
  <c r="ER72" i="3"/>
  <c r="EQ72" i="3"/>
  <c r="EH72" i="3"/>
  <c r="EE72" i="3"/>
  <c r="EF72" i="3" l="1"/>
  <c r="DQ73" i="3"/>
  <c r="DR73" i="3"/>
  <c r="EB73" i="3"/>
  <c r="EC73" i="3" s="1"/>
  <c r="DP73" i="3"/>
  <c r="ED73" i="3"/>
  <c r="EG73" i="3"/>
  <c r="J134" i="3"/>
  <c r="GF71" i="3"/>
  <c r="DM74" i="3"/>
  <c r="D135" i="3"/>
  <c r="GC72" i="3"/>
  <c r="ET73" i="3"/>
  <c r="ER73" i="3"/>
  <c r="EQ73" i="3"/>
  <c r="EH73" i="3"/>
  <c r="EE73" i="3"/>
  <c r="DR74" i="3" l="1"/>
  <c r="DQ74" i="3"/>
  <c r="EB74" i="3"/>
  <c r="EF74" i="3" s="1"/>
  <c r="DP74" i="3"/>
  <c r="EF73" i="3"/>
  <c r="EG74" i="3"/>
  <c r="ED74" i="3"/>
  <c r="J135" i="3"/>
  <c r="GF72" i="3"/>
  <c r="DM75" i="3"/>
  <c r="D136" i="3"/>
  <c r="GC73" i="3"/>
  <c r="ET74" i="3"/>
  <c r="ER74" i="3"/>
  <c r="EQ74" i="3"/>
  <c r="EH74" i="3"/>
  <c r="EE74" i="3"/>
  <c r="EC74" i="3" l="1"/>
  <c r="DQ75" i="3"/>
  <c r="DR75" i="3"/>
  <c r="EB75" i="3"/>
  <c r="EC75" i="3" s="1"/>
  <c r="DP75" i="3"/>
  <c r="EG75" i="3"/>
  <c r="ED75" i="3"/>
  <c r="J136" i="3"/>
  <c r="GF73" i="3"/>
  <c r="DM76" i="3"/>
  <c r="D137" i="3"/>
  <c r="GC74" i="3"/>
  <c r="ET75" i="3"/>
  <c r="ER75" i="3"/>
  <c r="EH75" i="3"/>
  <c r="EE75" i="3"/>
  <c r="EQ75" i="3"/>
  <c r="EF75" i="3" l="1"/>
  <c r="DR76" i="3"/>
  <c r="DQ76" i="3"/>
  <c r="EB76" i="3"/>
  <c r="EC76" i="3" s="1"/>
  <c r="DP76" i="3"/>
  <c r="ED76" i="3"/>
  <c r="EG76" i="3"/>
  <c r="J137" i="3"/>
  <c r="GF74" i="3"/>
  <c r="DM77" i="3"/>
  <c r="D138" i="3"/>
  <c r="GC75" i="3"/>
  <c r="ET76" i="3"/>
  <c r="ER76" i="3"/>
  <c r="EQ76" i="3"/>
  <c r="EH76" i="3"/>
  <c r="EE76" i="3"/>
  <c r="EF76" i="3" l="1"/>
  <c r="DQ77" i="3"/>
  <c r="DR77" i="3"/>
  <c r="EB77" i="3"/>
  <c r="EC77" i="3" s="1"/>
  <c r="DP77" i="3"/>
  <c r="ED77" i="3"/>
  <c r="EG77" i="3"/>
  <c r="J138" i="3"/>
  <c r="GF75" i="3"/>
  <c r="DM78" i="3"/>
  <c r="D139" i="3"/>
  <c r="GC76" i="3"/>
  <c r="ET77" i="3"/>
  <c r="ER77" i="3"/>
  <c r="EQ77" i="3"/>
  <c r="EH77" i="3"/>
  <c r="EE77" i="3"/>
  <c r="EF77" i="3" l="1"/>
  <c r="EB78" i="3"/>
  <c r="EF78" i="3" s="1"/>
  <c r="DR78" i="3"/>
  <c r="DQ78" i="3"/>
  <c r="DP78" i="3"/>
  <c r="EG78" i="3"/>
  <c r="ED78" i="3"/>
  <c r="J139" i="3"/>
  <c r="GF76" i="3"/>
  <c r="DM79" i="3"/>
  <c r="D140" i="3"/>
  <c r="GC77" i="3"/>
  <c r="EQ78" i="3"/>
  <c r="ET78" i="3"/>
  <c r="ER78" i="3"/>
  <c r="EH78" i="3"/>
  <c r="EE78" i="3"/>
  <c r="EC78" i="3" l="1"/>
  <c r="DQ79" i="3"/>
  <c r="DR79" i="3"/>
  <c r="EB79" i="3"/>
  <c r="EF79" i="3" s="1"/>
  <c r="ED79" i="3"/>
  <c r="DP79" i="3"/>
  <c r="EG79" i="3"/>
  <c r="J140" i="3"/>
  <c r="GF77" i="3"/>
  <c r="DM80" i="3"/>
  <c r="D141" i="3"/>
  <c r="K140" i="3"/>
  <c r="GC78" i="3"/>
  <c r="EQ79" i="3"/>
  <c r="ET79" i="3"/>
  <c r="ER79" i="3"/>
  <c r="EH79" i="3"/>
  <c r="EE79" i="3"/>
  <c r="EC79" i="3" l="1"/>
  <c r="DR80" i="3"/>
  <c r="EB80" i="3"/>
  <c r="EC80" i="3" s="1"/>
  <c r="DQ80" i="3"/>
  <c r="DP80" i="3"/>
  <c r="EG80" i="3"/>
  <c r="ED80" i="3"/>
  <c r="J141" i="3"/>
  <c r="GF78" i="3"/>
  <c r="DM81" i="3"/>
  <c r="D142" i="3"/>
  <c r="GC79" i="3"/>
  <c r="ER80" i="3"/>
  <c r="EH80" i="3"/>
  <c r="EE80" i="3"/>
  <c r="ET80" i="3"/>
  <c r="EQ80" i="3"/>
  <c r="DQ81" i="3" l="1"/>
  <c r="DR81" i="3"/>
  <c r="EB81" i="3"/>
  <c r="EF81" i="3" s="1"/>
  <c r="DP81" i="3"/>
  <c r="EF80" i="3"/>
  <c r="ED81" i="3"/>
  <c r="EG81" i="3"/>
  <c r="J142" i="3"/>
  <c r="GF79" i="3"/>
  <c r="DM82" i="3"/>
  <c r="D143" i="3"/>
  <c r="GC80" i="3"/>
  <c r="ET81" i="3"/>
  <c r="ER81" i="3"/>
  <c r="EQ81" i="3"/>
  <c r="EH81" i="3"/>
  <c r="EE81" i="3"/>
  <c r="EC81" i="3" l="1"/>
  <c r="DQ82" i="3"/>
  <c r="DR82" i="3"/>
  <c r="EB82" i="3"/>
  <c r="EF82" i="3" s="1"/>
  <c r="DP82" i="3"/>
  <c r="EG82" i="3"/>
  <c r="ED82" i="3"/>
  <c r="J143" i="3"/>
  <c r="GF80" i="3"/>
  <c r="DM83" i="3"/>
  <c r="D144" i="3"/>
  <c r="GC81" i="3"/>
  <c r="EQ82" i="3"/>
  <c r="ET82" i="3"/>
  <c r="ER82" i="3"/>
  <c r="EH82" i="3"/>
  <c r="EE82" i="3"/>
  <c r="EC82" i="3" l="1"/>
  <c r="DQ83" i="3"/>
  <c r="DR83" i="3"/>
  <c r="EB83" i="3"/>
  <c r="EC83" i="3" s="1"/>
  <c r="DP83" i="3"/>
  <c r="EG83" i="3"/>
  <c r="ED83" i="3"/>
  <c r="J144" i="3"/>
  <c r="GF81" i="3"/>
  <c r="DM84" i="3"/>
  <c r="D145" i="3"/>
  <c r="GC82" i="3"/>
  <c r="EQ83" i="3"/>
  <c r="EE83" i="3"/>
  <c r="ER83" i="3"/>
  <c r="EH83" i="3"/>
  <c r="EF83" i="3" l="1"/>
  <c r="DR84" i="3"/>
  <c r="EB84" i="3"/>
  <c r="EF84" i="3" s="1"/>
  <c r="DQ84" i="3"/>
  <c r="DP84" i="3"/>
  <c r="EG84" i="3"/>
  <c r="ED84" i="3"/>
  <c r="J145" i="3"/>
  <c r="GF82" i="3"/>
  <c r="DM85" i="3"/>
  <c r="D146" i="3"/>
  <c r="GC83" i="3"/>
  <c r="ET84" i="3"/>
  <c r="ER84" i="3"/>
  <c r="EE84" i="3"/>
  <c r="EQ84" i="3"/>
  <c r="EH84" i="3"/>
  <c r="EC84" i="3" l="1"/>
  <c r="DQ85" i="3"/>
  <c r="DR85" i="3"/>
  <c r="EB85" i="3"/>
  <c r="EC85" i="3" s="1"/>
  <c r="DP85" i="3"/>
  <c r="ED85" i="3"/>
  <c r="EG85" i="3"/>
  <c r="J146" i="3"/>
  <c r="GF83" i="3"/>
  <c r="DM86" i="3"/>
  <c r="D147" i="3"/>
  <c r="GC84" i="3"/>
  <c r="ER85" i="3"/>
  <c r="EH85" i="3"/>
  <c r="EE85" i="3"/>
  <c r="EQ85" i="3"/>
  <c r="DQ86" i="3" l="1"/>
  <c r="DR86" i="3"/>
  <c r="EB86" i="3"/>
  <c r="EF86" i="3" s="1"/>
  <c r="DP86" i="3"/>
  <c r="EF85" i="3"/>
  <c r="ED86" i="3"/>
  <c r="EG86" i="3"/>
  <c r="J147" i="3"/>
  <c r="GF84" i="3"/>
  <c r="DM87" i="3"/>
  <c r="D148" i="3"/>
  <c r="GC85" i="3"/>
  <c r="ER86" i="3"/>
  <c r="EH86" i="3"/>
  <c r="EE86" i="3"/>
  <c r="ET86" i="3"/>
  <c r="EQ86" i="3"/>
  <c r="EC86" i="3" l="1"/>
  <c r="DQ87" i="3"/>
  <c r="DR87" i="3"/>
  <c r="EB87" i="3"/>
  <c r="EF87" i="3" s="1"/>
  <c r="DP87" i="3"/>
  <c r="EG87" i="3"/>
  <c r="ED87" i="3"/>
  <c r="J148" i="3"/>
  <c r="GF85" i="3"/>
  <c r="DM88" i="3"/>
  <c r="D149" i="3"/>
  <c r="GC86" i="3"/>
  <c r="ER87" i="3"/>
  <c r="EH87" i="3"/>
  <c r="EE87" i="3"/>
  <c r="EQ87" i="3"/>
  <c r="EC87" i="3" l="1"/>
  <c r="DR88" i="3"/>
  <c r="EB88" i="3"/>
  <c r="EC88" i="3" s="1"/>
  <c r="DQ88" i="3"/>
  <c r="DP88" i="3"/>
  <c r="EG88" i="3"/>
  <c r="ED88" i="3"/>
  <c r="J149" i="3"/>
  <c r="GF86" i="3"/>
  <c r="DM89" i="3"/>
  <c r="D150" i="3"/>
  <c r="GC87" i="3"/>
  <c r="ET88" i="3"/>
  <c r="ER88" i="3"/>
  <c r="EE88" i="3"/>
  <c r="EQ88" i="3"/>
  <c r="EH88" i="3"/>
  <c r="EF88" i="3" l="1"/>
  <c r="DQ89" i="3"/>
  <c r="DR89" i="3"/>
  <c r="EB89" i="3"/>
  <c r="EF89" i="3" s="1"/>
  <c r="DP89" i="3"/>
  <c r="EG89" i="3"/>
  <c r="ED89" i="3"/>
  <c r="J150" i="3"/>
  <c r="GF87" i="3"/>
  <c r="DM90" i="3"/>
  <c r="D151" i="3"/>
  <c r="GC88" i="3"/>
  <c r="ER89" i="3"/>
  <c r="EH89" i="3"/>
  <c r="EE89" i="3"/>
  <c r="EQ89" i="3"/>
  <c r="EC89" i="3" l="1"/>
  <c r="DR90" i="3"/>
  <c r="EB90" i="3"/>
  <c r="EC90" i="3" s="1"/>
  <c r="DQ90" i="3"/>
  <c r="DP90" i="3"/>
  <c r="ED90" i="3"/>
  <c r="EG90" i="3"/>
  <c r="J151" i="3"/>
  <c r="GF88" i="3"/>
  <c r="D152" i="3"/>
  <c r="ET90" i="3"/>
  <c r="GC89" i="3"/>
  <c r="DM91" i="3"/>
  <c r="EQ90" i="3"/>
  <c r="EH90" i="3"/>
  <c r="ER90" i="3"/>
  <c r="EE90" i="3"/>
  <c r="EF90" i="3" l="1"/>
  <c r="DQ91" i="3"/>
  <c r="DR91" i="3"/>
  <c r="EB91" i="3"/>
  <c r="EF91" i="3" s="1"/>
  <c r="DP91" i="3"/>
  <c r="EG91" i="3"/>
  <c r="ED91" i="3"/>
  <c r="J152" i="3"/>
  <c r="GF89" i="3"/>
  <c r="D153" i="3"/>
  <c r="GC90" i="3"/>
  <c r="DM92" i="3"/>
  <c r="ET91" i="3"/>
  <c r="ER91" i="3"/>
  <c r="EE91" i="3"/>
  <c r="EQ91" i="3"/>
  <c r="EC91" i="3" l="1"/>
  <c r="DR92" i="3"/>
  <c r="EB92" i="3"/>
  <c r="EC92" i="3" s="1"/>
  <c r="DQ92" i="3"/>
  <c r="DP92" i="3"/>
  <c r="EG92" i="3"/>
  <c r="ED92" i="3"/>
  <c r="J153" i="3"/>
  <c r="GF90" i="3"/>
  <c r="D154" i="3"/>
  <c r="GC91" i="3"/>
  <c r="DM93" i="3"/>
  <c r="ET92" i="3"/>
  <c r="EQ92" i="3"/>
  <c r="EH92" i="3"/>
  <c r="ER92" i="3"/>
  <c r="EE92" i="3"/>
  <c r="EF92" i="3" l="1"/>
  <c r="DQ93" i="3"/>
  <c r="DR93" i="3"/>
  <c r="EB93" i="3"/>
  <c r="EC93" i="3" s="1"/>
  <c r="DP93" i="3"/>
  <c r="EG93" i="3"/>
  <c r="ED93" i="3"/>
  <c r="J154" i="3"/>
  <c r="GF91" i="3"/>
  <c r="D155" i="3"/>
  <c r="GC92" i="3"/>
  <c r="DM94" i="3"/>
  <c r="ET93" i="3"/>
  <c r="ER93" i="3"/>
  <c r="EE93" i="3"/>
  <c r="EQ93" i="3"/>
  <c r="EF93" i="3" l="1"/>
  <c r="DQ94" i="3"/>
  <c r="DR94" i="3"/>
  <c r="EB94" i="3"/>
  <c r="EC94" i="3" s="1"/>
  <c r="DP94" i="3"/>
  <c r="ED94" i="3"/>
  <c r="EG94" i="3"/>
  <c r="J155" i="3"/>
  <c r="GF92" i="3"/>
  <c r="D156" i="3"/>
  <c r="GC93" i="3"/>
  <c r="DM95" i="3"/>
  <c r="EQ94" i="3"/>
  <c r="ET94" i="3"/>
  <c r="ER94" i="3"/>
  <c r="EE94" i="3"/>
  <c r="EF94" i="3" l="1"/>
  <c r="DQ95" i="3"/>
  <c r="DR95" i="3"/>
  <c r="EB95" i="3"/>
  <c r="EC95" i="3" s="1"/>
  <c r="DP95" i="3"/>
  <c r="EG95" i="3"/>
  <c r="ED95" i="3"/>
  <c r="J156" i="3"/>
  <c r="GF93" i="3"/>
  <c r="D157" i="3"/>
  <c r="GC94" i="3"/>
  <c r="DM96" i="3"/>
  <c r="ER95" i="3"/>
  <c r="EH95" i="3"/>
  <c r="EE95" i="3"/>
  <c r="EQ95" i="3"/>
  <c r="EF95" i="3" l="1"/>
  <c r="DR96" i="3"/>
  <c r="EB96" i="3"/>
  <c r="EC96" i="3" s="1"/>
  <c r="DQ96" i="3"/>
  <c r="DP96" i="3"/>
  <c r="ED96" i="3"/>
  <c r="EG96" i="3"/>
  <c r="J157" i="3"/>
  <c r="GF94" i="3"/>
  <c r="D158" i="3"/>
  <c r="GC95" i="3"/>
  <c r="DM97" i="3"/>
  <c r="ET96" i="3"/>
  <c r="EH96" i="3"/>
  <c r="EQ96" i="3"/>
  <c r="EE96" i="3"/>
  <c r="ER96" i="3"/>
  <c r="EF96" i="3" l="1"/>
  <c r="DQ97" i="3"/>
  <c r="DR97" i="3"/>
  <c r="EB97" i="3"/>
  <c r="EF97" i="3" s="1"/>
  <c r="DP97" i="3"/>
  <c r="EG97" i="3"/>
  <c r="ED97" i="3"/>
  <c r="J158" i="3"/>
  <c r="GF95" i="3"/>
  <c r="D159" i="3"/>
  <c r="GC96" i="3"/>
  <c r="DM98" i="3"/>
  <c r="EQ97" i="3"/>
  <c r="EE97" i="3"/>
  <c r="ET97" i="3"/>
  <c r="ER97" i="3"/>
  <c r="EC97" i="3" l="1"/>
  <c r="DQ98" i="3"/>
  <c r="DR98" i="3"/>
  <c r="EB98" i="3"/>
  <c r="EC98" i="3" s="1"/>
  <c r="DP98" i="3"/>
  <c r="EG98" i="3"/>
  <c r="ED98" i="3"/>
  <c r="J159" i="3"/>
  <c r="GF96" i="3"/>
  <c r="D160" i="3"/>
  <c r="GC97" i="3"/>
  <c r="DM99" i="3"/>
  <c r="EQ98" i="3"/>
  <c r="ET98" i="3"/>
  <c r="ER98" i="3"/>
  <c r="EE98" i="3"/>
  <c r="EH98" i="3"/>
  <c r="EF98" i="3" l="1"/>
  <c r="DQ99" i="3"/>
  <c r="DR99" i="3"/>
  <c r="EB99" i="3"/>
  <c r="EC99" i="3" s="1"/>
  <c r="DP99" i="3"/>
  <c r="EG99" i="3"/>
  <c r="ED99" i="3"/>
  <c r="J160" i="3"/>
  <c r="GF97" i="3"/>
  <c r="D161" i="3"/>
  <c r="GC98" i="3"/>
  <c r="DM100" i="3"/>
  <c r="EQ99" i="3"/>
  <c r="EE99" i="3"/>
  <c r="ET99" i="3"/>
  <c r="ER99" i="3"/>
  <c r="DR100" i="3" l="1"/>
  <c r="EB100" i="3"/>
  <c r="EC100" i="3" s="1"/>
  <c r="DQ100" i="3"/>
  <c r="DP100" i="3"/>
  <c r="EF99" i="3"/>
  <c r="ED100" i="3"/>
  <c r="EG100" i="3"/>
  <c r="J161" i="3"/>
  <c r="GF98" i="3"/>
  <c r="D162" i="3"/>
  <c r="GC99" i="3"/>
  <c r="EQ100" i="3"/>
  <c r="EE100" i="3"/>
  <c r="ET100" i="3"/>
  <c r="ER100" i="3"/>
  <c r="EH100" i="3"/>
  <c r="DM101" i="3"/>
  <c r="EF100" i="3" l="1"/>
  <c r="DQ101" i="3"/>
  <c r="DR101" i="3"/>
  <c r="EB101" i="3"/>
  <c r="EC101" i="3" s="1"/>
  <c r="DP101" i="3"/>
  <c r="ED101" i="3"/>
  <c r="EG101" i="3"/>
  <c r="J162" i="3"/>
  <c r="GF99" i="3"/>
  <c r="D163" i="3"/>
  <c r="GC100" i="3"/>
  <c r="DM102" i="3"/>
  <c r="EQ101" i="3"/>
  <c r="ET101" i="3"/>
  <c r="ER101" i="3"/>
  <c r="EE101" i="3"/>
  <c r="EF101" i="3" l="1"/>
  <c r="DQ102" i="3"/>
  <c r="DR102" i="3"/>
  <c r="EB102" i="3"/>
  <c r="EC102" i="3" s="1"/>
  <c r="DP102" i="3"/>
  <c r="ED102" i="3"/>
  <c r="EG102" i="3"/>
  <c r="J163" i="3"/>
  <c r="DT102" i="3"/>
  <c r="GF100" i="3"/>
  <c r="D164" i="3"/>
  <c r="GC101" i="3"/>
  <c r="DM103" i="3"/>
  <c r="ER102" i="3"/>
  <c r="EH102" i="3"/>
  <c r="EE102" i="3"/>
  <c r="ET102" i="3"/>
  <c r="EQ102" i="3"/>
  <c r="DQ103" i="3" l="1"/>
  <c r="DR103" i="3"/>
  <c r="EB103" i="3"/>
  <c r="EF103" i="3" s="1"/>
  <c r="DP103" i="3"/>
  <c r="EF102" i="3"/>
  <c r="EG103" i="3"/>
  <c r="ED103" i="3"/>
  <c r="J164" i="3"/>
  <c r="GF101" i="3"/>
  <c r="D165" i="3"/>
  <c r="GC102" i="3"/>
  <c r="DM104" i="3"/>
  <c r="EQ103" i="3"/>
  <c r="ET103" i="3"/>
  <c r="ER103" i="3"/>
  <c r="EE103" i="3"/>
  <c r="EC103" i="3" l="1"/>
  <c r="DR104" i="3"/>
  <c r="EB104" i="3"/>
  <c r="EC104" i="3" s="1"/>
  <c r="DQ104" i="3"/>
  <c r="DP104" i="3"/>
  <c r="EG104" i="3"/>
  <c r="ED104" i="3"/>
  <c r="J165" i="3"/>
  <c r="GF102" i="3"/>
  <c r="D166" i="3"/>
  <c r="GC103" i="3"/>
  <c r="DM105" i="3"/>
  <c r="ET104" i="3"/>
  <c r="EQ104" i="3"/>
  <c r="EH104" i="3"/>
  <c r="EE104" i="3"/>
  <c r="ER104" i="3"/>
  <c r="EF104" i="3" l="1"/>
  <c r="DQ105" i="3"/>
  <c r="DR105" i="3"/>
  <c r="EB105" i="3"/>
  <c r="EC105" i="3" s="1"/>
  <c r="DP105" i="3"/>
  <c r="EG105" i="3"/>
  <c r="ED105" i="3"/>
  <c r="J166" i="3"/>
  <c r="GF103" i="3"/>
  <c r="D167" i="3"/>
  <c r="GC104" i="3"/>
  <c r="DM106" i="3"/>
  <c r="EQ105" i="3"/>
  <c r="ET105" i="3"/>
  <c r="ER105" i="3"/>
  <c r="EE105" i="3"/>
  <c r="DR106" i="3" l="1"/>
  <c r="EB106" i="3"/>
  <c r="EF106" i="3" s="1"/>
  <c r="DQ106" i="3"/>
  <c r="DP106" i="3"/>
  <c r="EF105" i="3"/>
  <c r="ED106" i="3"/>
  <c r="EG106" i="3"/>
  <c r="J167" i="3"/>
  <c r="GF104" i="3"/>
  <c r="D168" i="3"/>
  <c r="GC105" i="3"/>
  <c r="DM107" i="3"/>
  <c r="ET106" i="3"/>
  <c r="ER106" i="3"/>
  <c r="EQ106" i="3"/>
  <c r="EH106" i="3"/>
  <c r="EE106" i="3"/>
  <c r="DQ107" i="3" l="1"/>
  <c r="DR107" i="3"/>
  <c r="EB107" i="3"/>
  <c r="EF107" i="3" s="1"/>
  <c r="DP107" i="3"/>
  <c r="EC106" i="3"/>
  <c r="EG107" i="3"/>
  <c r="ED107" i="3"/>
  <c r="J168" i="3"/>
  <c r="GF105" i="3"/>
  <c r="D169" i="3"/>
  <c r="GC106" i="3"/>
  <c r="DM108" i="3"/>
  <c r="ET107" i="3"/>
  <c r="ER107" i="3"/>
  <c r="EH107" i="3"/>
  <c r="EE107" i="3"/>
  <c r="EQ107" i="3"/>
  <c r="EC107" i="3" l="1"/>
  <c r="DR108" i="3"/>
  <c r="EB108" i="3"/>
  <c r="EF108" i="3" s="1"/>
  <c r="DQ108" i="3"/>
  <c r="DP108" i="3"/>
  <c r="EG108" i="3"/>
  <c r="ED108" i="3"/>
  <c r="J169" i="3"/>
  <c r="GF106" i="3"/>
  <c r="D170" i="3"/>
  <c r="GC107" i="3"/>
  <c r="EQ108" i="3"/>
  <c r="EH108" i="3"/>
  <c r="EE108" i="3"/>
  <c r="DM109" i="3"/>
  <c r="ET108" i="3"/>
  <c r="ER108" i="3"/>
  <c r="DQ109" i="3" l="1"/>
  <c r="DR109" i="3"/>
  <c r="EB109" i="3"/>
  <c r="EF109" i="3" s="1"/>
  <c r="DP109" i="3"/>
  <c r="EC108" i="3"/>
  <c r="EG109" i="3"/>
  <c r="ED109" i="3"/>
  <c r="J170" i="3"/>
  <c r="GF107" i="3"/>
  <c r="D171" i="3"/>
  <c r="GC108" i="3"/>
  <c r="DM110" i="3"/>
  <c r="EQ109" i="3"/>
  <c r="ET109" i="3"/>
  <c r="ER109" i="3"/>
  <c r="EH109" i="3"/>
  <c r="EE109" i="3"/>
  <c r="EC109" i="3" l="1"/>
  <c r="DQ110" i="3"/>
  <c r="DR110" i="3"/>
  <c r="EB110" i="3"/>
  <c r="EF110" i="3" s="1"/>
  <c r="DP110" i="3"/>
  <c r="ED110" i="3"/>
  <c r="EG110" i="3"/>
  <c r="J171" i="3"/>
  <c r="GF108" i="3"/>
  <c r="D172" i="3"/>
  <c r="GC109" i="3"/>
  <c r="DM111" i="3"/>
  <c r="ET110" i="3"/>
  <c r="EQ110" i="3"/>
  <c r="ER110" i="3"/>
  <c r="EH110" i="3"/>
  <c r="EE110" i="3"/>
  <c r="EC110" i="3" l="1"/>
  <c r="DQ111" i="3"/>
  <c r="DR111" i="3"/>
  <c r="EB111" i="3"/>
  <c r="EC111" i="3" s="1"/>
  <c r="DP111" i="3"/>
  <c r="EG111" i="3"/>
  <c r="ED111" i="3"/>
  <c r="J172" i="3"/>
  <c r="GF109" i="3"/>
  <c r="D173" i="3"/>
  <c r="GC110" i="3"/>
  <c r="DM112" i="3"/>
  <c r="EQ111" i="3"/>
  <c r="ET111" i="3"/>
  <c r="ER111" i="3"/>
  <c r="EE111" i="3"/>
  <c r="EF111" i="3" l="1"/>
  <c r="DR112" i="3"/>
  <c r="EB112" i="3"/>
  <c r="EC112" i="3" s="1"/>
  <c r="DQ112" i="3"/>
  <c r="DP112" i="3"/>
  <c r="EG112" i="3"/>
  <c r="ED112" i="3"/>
  <c r="J173" i="3"/>
  <c r="GF110" i="3"/>
  <c r="D174" i="3"/>
  <c r="GC111" i="3"/>
  <c r="DM113" i="3"/>
  <c r="ER112" i="3"/>
  <c r="EH112" i="3"/>
  <c r="EE112" i="3"/>
  <c r="ET112" i="3"/>
  <c r="EQ112" i="3"/>
  <c r="EF112" i="3" l="1"/>
  <c r="DQ113" i="3"/>
  <c r="DR113" i="3"/>
  <c r="EB113" i="3"/>
  <c r="EC113" i="3" s="1"/>
  <c r="DP113" i="3"/>
  <c r="EG113" i="3"/>
  <c r="ED113" i="3"/>
  <c r="J174" i="3"/>
  <c r="GF111" i="3"/>
  <c r="D175" i="3"/>
  <c r="GC112" i="3"/>
  <c r="DM114" i="3"/>
  <c r="ET113" i="3"/>
  <c r="ER113" i="3"/>
  <c r="EQ113" i="3"/>
  <c r="EE113" i="3"/>
  <c r="EF113" i="3" l="1"/>
  <c r="DQ114" i="3"/>
  <c r="DR114" i="3"/>
  <c r="EB114" i="3"/>
  <c r="EC114" i="3" s="1"/>
  <c r="DP114" i="3"/>
  <c r="EG114" i="3"/>
  <c r="ED114" i="3"/>
  <c r="J175" i="3"/>
  <c r="GF112" i="3"/>
  <c r="D176" i="3"/>
  <c r="GC113" i="3"/>
  <c r="EE114" i="3"/>
  <c r="DM115" i="3"/>
  <c r="ET114" i="3"/>
  <c r="EQ114" i="3"/>
  <c r="ER114" i="3"/>
  <c r="EH114" i="3"/>
  <c r="EF114" i="3" l="1"/>
  <c r="DQ115" i="3"/>
  <c r="DR115" i="3"/>
  <c r="EB115" i="3"/>
  <c r="EC115" i="3" s="1"/>
  <c r="DP115" i="3"/>
  <c r="EG115" i="3"/>
  <c r="ED115" i="3"/>
  <c r="J176" i="3"/>
  <c r="GF113" i="3"/>
  <c r="D177" i="3"/>
  <c r="GC114" i="3"/>
  <c r="DM116" i="3"/>
  <c r="EQ115" i="3"/>
  <c r="EH115" i="3"/>
  <c r="EE115" i="3"/>
  <c r="ER115" i="3"/>
  <c r="DR116" i="3" l="1"/>
  <c r="EB116" i="3"/>
  <c r="EF116" i="3" s="1"/>
  <c r="DQ116" i="3"/>
  <c r="DP116" i="3"/>
  <c r="EF115" i="3"/>
  <c r="EG116" i="3"/>
  <c r="ED116" i="3"/>
  <c r="J177" i="3"/>
  <c r="GF114" i="3"/>
  <c r="D178" i="3"/>
  <c r="GC115" i="3"/>
  <c r="DM117" i="3"/>
  <c r="ET116" i="3"/>
  <c r="EQ116" i="3"/>
  <c r="ER116" i="3"/>
  <c r="EH116" i="3"/>
  <c r="EE116" i="3"/>
  <c r="DQ117" i="3" l="1"/>
  <c r="DR117" i="3"/>
  <c r="EB117" i="3"/>
  <c r="EF117" i="3" s="1"/>
  <c r="DP117" i="3"/>
  <c r="EC116" i="3"/>
  <c r="ED117" i="3"/>
  <c r="EG117" i="3"/>
  <c r="J178" i="3"/>
  <c r="GF115" i="3"/>
  <c r="D179" i="3"/>
  <c r="GC116" i="3"/>
  <c r="DM118" i="3"/>
  <c r="ET117" i="3"/>
  <c r="ER117" i="3"/>
  <c r="EE117" i="3"/>
  <c r="EQ117" i="3"/>
  <c r="EC117" i="3" l="1"/>
  <c r="DQ118" i="3"/>
  <c r="DR118" i="3"/>
  <c r="EB118" i="3"/>
  <c r="EF118" i="3" s="1"/>
  <c r="DP118" i="3"/>
  <c r="ED118" i="3"/>
  <c r="EG118" i="3"/>
  <c r="J179" i="3"/>
  <c r="GF116" i="3"/>
  <c r="D180" i="3"/>
  <c r="GC117" i="3"/>
  <c r="EQ118" i="3"/>
  <c r="DM119" i="3"/>
  <c r="ET118" i="3"/>
  <c r="ER118" i="3"/>
  <c r="EH118" i="3"/>
  <c r="EE118" i="3"/>
  <c r="EC118" i="3" l="1"/>
  <c r="DQ119" i="3"/>
  <c r="DR119" i="3"/>
  <c r="EB119" i="3"/>
  <c r="EC119" i="3" s="1"/>
  <c r="DP119" i="3"/>
  <c r="EG119" i="3"/>
  <c r="ED119" i="3"/>
  <c r="J180" i="3"/>
  <c r="GF117" i="3"/>
  <c r="D181" i="3"/>
  <c r="GC118" i="3"/>
  <c r="DM120" i="3"/>
  <c r="ER119" i="3"/>
  <c r="EH119" i="3"/>
  <c r="EE119" i="3"/>
  <c r="EQ119" i="3"/>
  <c r="EF119" i="3" l="1"/>
  <c r="DR120" i="3"/>
  <c r="EB120" i="3"/>
  <c r="EC120" i="3" s="1"/>
  <c r="DQ120" i="3"/>
  <c r="DP120" i="3"/>
  <c r="EG120" i="3"/>
  <c r="ED120" i="3"/>
  <c r="J181" i="3"/>
  <c r="GF118" i="3"/>
  <c r="D182" i="3"/>
  <c r="GC119" i="3"/>
  <c r="DM121" i="3"/>
  <c r="ET120" i="3"/>
  <c r="ER120" i="3"/>
  <c r="EQ120" i="3"/>
  <c r="EH120" i="3"/>
  <c r="EE120" i="3"/>
  <c r="DQ121" i="3" l="1"/>
  <c r="DR121" i="3"/>
  <c r="EB121" i="3"/>
  <c r="EF121" i="3" s="1"/>
  <c r="DP121" i="3"/>
  <c r="EF120" i="3"/>
  <c r="EG121" i="3"/>
  <c r="ED121" i="3"/>
  <c r="J182" i="3"/>
  <c r="GF119" i="3"/>
  <c r="D183" i="3"/>
  <c r="GC120" i="3"/>
  <c r="DM122" i="3"/>
  <c r="ER121" i="3"/>
  <c r="EE121" i="3"/>
  <c r="EQ121" i="3"/>
  <c r="ET121" i="3"/>
  <c r="EC121" i="3" l="1"/>
  <c r="DR122" i="3"/>
  <c r="EB122" i="3"/>
  <c r="EC122" i="3" s="1"/>
  <c r="DQ122" i="3"/>
  <c r="DP122" i="3"/>
  <c r="ED122" i="3"/>
  <c r="EG122" i="3"/>
  <c r="J183" i="3"/>
  <c r="GF120" i="3"/>
  <c r="D184" i="3"/>
  <c r="GC121" i="3"/>
  <c r="EH122" i="3"/>
  <c r="ET122" i="3"/>
  <c r="ER122" i="3"/>
  <c r="EE122" i="3"/>
  <c r="DM123" i="3"/>
  <c r="EQ122" i="3"/>
  <c r="EF122" i="3" l="1"/>
  <c r="DQ123" i="3"/>
  <c r="DR123" i="3"/>
  <c r="EB123" i="3"/>
  <c r="EC123" i="3" s="1"/>
  <c r="DP123" i="3"/>
  <c r="EG123" i="3"/>
  <c r="ED123" i="3"/>
  <c r="J184" i="3"/>
  <c r="GF121" i="3"/>
  <c r="D185" i="3"/>
  <c r="GC122" i="3"/>
  <c r="DM124" i="3"/>
  <c r="ET123" i="3"/>
  <c r="ER123" i="3"/>
  <c r="EQ123" i="3"/>
  <c r="EE123" i="3"/>
  <c r="EF123" i="3" l="1"/>
  <c r="DR124" i="3"/>
  <c r="EB124" i="3"/>
  <c r="EC124" i="3" s="1"/>
  <c r="DQ124" i="3"/>
  <c r="DP124" i="3"/>
  <c r="EG124" i="3"/>
  <c r="ED124" i="3"/>
  <c r="J185" i="3"/>
  <c r="GF122" i="3"/>
  <c r="D186" i="3"/>
  <c r="GC123" i="3"/>
  <c r="ET124" i="3"/>
  <c r="EQ124" i="3"/>
  <c r="DM125" i="3"/>
  <c r="ER124" i="3"/>
  <c r="EH124" i="3"/>
  <c r="EE124" i="3"/>
  <c r="DQ125" i="3" l="1"/>
  <c r="DR125" i="3"/>
  <c r="EB125" i="3"/>
  <c r="EF125" i="3" s="1"/>
  <c r="DP125" i="3"/>
  <c r="EF124" i="3"/>
  <c r="EG125" i="3"/>
  <c r="ED125" i="3"/>
  <c r="J186" i="3"/>
  <c r="GF123" i="3"/>
  <c r="D187" i="3"/>
  <c r="GC124" i="3"/>
  <c r="DM126" i="3"/>
  <c r="EQ125" i="3"/>
  <c r="EH125" i="3"/>
  <c r="EE125" i="3"/>
  <c r="ER125" i="3"/>
  <c r="EC125" i="3" l="1"/>
  <c r="DQ126" i="3"/>
  <c r="EB126" i="3"/>
  <c r="EC126" i="3" s="1"/>
  <c r="DR126" i="3"/>
  <c r="DP126" i="3"/>
  <c r="ED126" i="3"/>
  <c r="EG126" i="3"/>
  <c r="J187" i="3"/>
  <c r="GF124" i="3"/>
  <c r="D188" i="3"/>
  <c r="GC125" i="3"/>
  <c r="DM127" i="3"/>
  <c r="ET126" i="3"/>
  <c r="ER126" i="3"/>
  <c r="EE126" i="3"/>
  <c r="EQ126" i="3"/>
  <c r="EH126" i="3"/>
  <c r="EF126" i="3" l="1"/>
  <c r="DQ127" i="3"/>
  <c r="DR127" i="3"/>
  <c r="EB127" i="3"/>
  <c r="EF127" i="3" s="1"/>
  <c r="DP127" i="3"/>
  <c r="EG127" i="3"/>
  <c r="ED127" i="3"/>
  <c r="J188" i="3"/>
  <c r="GF125" i="3"/>
  <c r="D189" i="3"/>
  <c r="GC126" i="3"/>
  <c r="DM128" i="3"/>
  <c r="EQ127" i="3"/>
  <c r="ER127" i="3"/>
  <c r="EH127" i="3"/>
  <c r="EE127" i="3"/>
  <c r="EC127" i="3" l="1"/>
  <c r="DR128" i="3"/>
  <c r="EB128" i="3"/>
  <c r="EC128" i="3" s="1"/>
  <c r="DQ128" i="3"/>
  <c r="DP128" i="3"/>
  <c r="ED128" i="3"/>
  <c r="EG128" i="3"/>
  <c r="J189" i="3"/>
  <c r="GF126" i="3"/>
  <c r="D190" i="3"/>
  <c r="GC127" i="3"/>
  <c r="DM129" i="3"/>
  <c r="EQ128" i="3"/>
  <c r="EH128" i="3"/>
  <c r="ET128" i="3"/>
  <c r="ER128" i="3"/>
  <c r="EE128" i="3"/>
  <c r="DQ129" i="3" l="1"/>
  <c r="DR129" i="3"/>
  <c r="EB129" i="3"/>
  <c r="EC129" i="3" s="1"/>
  <c r="DP129" i="3"/>
  <c r="EF128" i="3"/>
  <c r="EG129" i="3"/>
  <c r="ED129" i="3"/>
  <c r="J190" i="3"/>
  <c r="GF127" i="3"/>
  <c r="D191" i="3"/>
  <c r="GC128" i="3"/>
  <c r="DM130" i="3"/>
  <c r="ET129" i="3"/>
  <c r="ER129" i="3"/>
  <c r="EQ129" i="3"/>
  <c r="EE129" i="3"/>
  <c r="EF129" i="3" l="1"/>
  <c r="DQ130" i="3"/>
  <c r="DR130" i="3"/>
  <c r="EB130" i="3"/>
  <c r="EC130" i="3" s="1"/>
  <c r="DP130" i="3"/>
  <c r="EG130" i="3"/>
  <c r="ED130" i="3"/>
  <c r="J191" i="3"/>
  <c r="GF128" i="3"/>
  <c r="D192" i="3"/>
  <c r="GC129" i="3"/>
  <c r="DM131" i="3"/>
  <c r="EQ130" i="3"/>
  <c r="ET130" i="3"/>
  <c r="ER130" i="3"/>
  <c r="EH130" i="3"/>
  <c r="EE130" i="3"/>
  <c r="EF130" i="3" l="1"/>
  <c r="DQ131" i="3"/>
  <c r="DR131" i="3"/>
  <c r="EB131" i="3"/>
  <c r="EC131" i="3" s="1"/>
  <c r="DP131" i="3"/>
  <c r="EG131" i="3"/>
  <c r="ED131" i="3"/>
  <c r="J192" i="3"/>
  <c r="GF129" i="3"/>
  <c r="D193" i="3"/>
  <c r="GC130" i="3"/>
  <c r="DM132" i="3"/>
  <c r="ET131" i="3"/>
  <c r="ER131" i="3"/>
  <c r="EQ131" i="3"/>
  <c r="EE131" i="3"/>
  <c r="EF131" i="3" l="1"/>
  <c r="DR132" i="3"/>
  <c r="EB132" i="3"/>
  <c r="EC132" i="3" s="1"/>
  <c r="DQ132" i="3"/>
  <c r="DP132" i="3"/>
  <c r="EG132" i="3"/>
  <c r="ED132" i="3"/>
  <c r="J193" i="3"/>
  <c r="GF130" i="3"/>
  <c r="D194" i="3"/>
  <c r="GC131" i="3"/>
  <c r="ER132" i="3"/>
  <c r="EH132" i="3"/>
  <c r="EE132" i="3"/>
  <c r="DM133" i="3"/>
  <c r="ET132" i="3"/>
  <c r="EQ132" i="3"/>
  <c r="EF132" i="3" l="1"/>
  <c r="DQ133" i="3"/>
  <c r="DR133" i="3"/>
  <c r="EB133" i="3"/>
  <c r="EC133" i="3" s="1"/>
  <c r="DP133" i="3"/>
  <c r="EM132" i="3"/>
  <c r="EG133" i="3"/>
  <c r="ED133" i="3"/>
  <c r="J194" i="3"/>
  <c r="GF131" i="3"/>
  <c r="D195" i="3"/>
  <c r="GC132" i="3"/>
  <c r="DM134" i="3"/>
  <c r="ER133" i="3"/>
  <c r="EQ133" i="3"/>
  <c r="EH133" i="3"/>
  <c r="EE133" i="3"/>
  <c r="DQ134" i="3" l="1"/>
  <c r="DR134" i="3"/>
  <c r="EB134" i="3"/>
  <c r="EF134" i="3" s="1"/>
  <c r="DP134" i="3"/>
  <c r="EF133" i="3"/>
  <c r="EM133" i="3"/>
  <c r="ED134" i="3"/>
  <c r="EG134" i="3"/>
  <c r="J195" i="3"/>
  <c r="GF132" i="3"/>
  <c r="D196" i="3"/>
  <c r="GC133" i="3"/>
  <c r="DM135" i="3"/>
  <c r="EH134" i="3"/>
  <c r="ET134" i="3"/>
  <c r="EQ134" i="3"/>
  <c r="ER134" i="3"/>
  <c r="EE134" i="3"/>
  <c r="EC134" i="3" l="1"/>
  <c r="DQ135" i="3"/>
  <c r="DR135" i="3"/>
  <c r="EB135" i="3"/>
  <c r="EF135" i="3" s="1"/>
  <c r="DP135" i="3"/>
  <c r="EG135" i="3"/>
  <c r="EM134" i="3"/>
  <c r="ED135" i="3"/>
  <c r="J196" i="3"/>
  <c r="GF133" i="3"/>
  <c r="D197" i="3"/>
  <c r="GC134" i="3"/>
  <c r="DM136" i="3"/>
  <c r="ER135" i="3"/>
  <c r="ET135" i="3"/>
  <c r="EE135" i="3"/>
  <c r="EQ135" i="3"/>
  <c r="EC135" i="3" l="1"/>
  <c r="DR136" i="3"/>
  <c r="EB136" i="3"/>
  <c r="EC136" i="3" s="1"/>
  <c r="DQ136" i="3"/>
  <c r="DP136" i="3"/>
  <c r="EG136" i="3"/>
  <c r="ED136" i="3"/>
  <c r="J197" i="3"/>
  <c r="GF134" i="3"/>
  <c r="D198" i="3"/>
  <c r="GC135" i="3"/>
  <c r="DM137" i="3"/>
  <c r="EQ136" i="3"/>
  <c r="EE136" i="3"/>
  <c r="ET136" i="3"/>
  <c r="ER136" i="3"/>
  <c r="EH136" i="3"/>
  <c r="EF136" i="3" l="1"/>
  <c r="DQ137" i="3"/>
  <c r="DR137" i="3"/>
  <c r="EB137" i="3"/>
  <c r="EC137" i="3" s="1"/>
  <c r="DP137" i="3"/>
  <c r="EG137" i="3"/>
  <c r="ED137" i="3"/>
  <c r="J198" i="3"/>
  <c r="GF135" i="3"/>
  <c r="D199" i="3"/>
  <c r="GC136" i="3"/>
  <c r="DM138" i="3"/>
  <c r="ET137" i="3"/>
  <c r="ER137" i="3"/>
  <c r="EH137" i="3"/>
  <c r="EE137" i="3"/>
  <c r="EQ137" i="3"/>
  <c r="DR138" i="3" l="1"/>
  <c r="EB138" i="3"/>
  <c r="EF138" i="3" s="1"/>
  <c r="DQ138" i="3"/>
  <c r="DP138" i="3"/>
  <c r="EF137" i="3"/>
  <c r="ED138" i="3"/>
  <c r="EG138" i="3"/>
  <c r="J199" i="3"/>
  <c r="GF136" i="3"/>
  <c r="D200" i="3"/>
  <c r="GC137" i="3"/>
  <c r="DM139" i="3"/>
  <c r="ER138" i="3"/>
  <c r="EH138" i="3"/>
  <c r="ET138" i="3"/>
  <c r="EQ138" i="3"/>
  <c r="EE138" i="3"/>
  <c r="DQ139" i="3" l="1"/>
  <c r="DR139" i="3"/>
  <c r="EB139" i="3"/>
  <c r="EF139" i="3" s="1"/>
  <c r="DP139" i="3"/>
  <c r="EC138" i="3"/>
  <c r="EG139" i="3"/>
  <c r="ED139" i="3"/>
  <c r="J200" i="3"/>
  <c r="GF137" i="3"/>
  <c r="D201" i="3"/>
  <c r="GC138" i="3"/>
  <c r="DM140" i="3"/>
  <c r="ET139" i="3"/>
  <c r="ER139" i="3"/>
  <c r="EE139" i="3"/>
  <c r="EQ139" i="3"/>
  <c r="EC139" i="3" l="1"/>
  <c r="DR140" i="3"/>
  <c r="EB140" i="3"/>
  <c r="EF140" i="3" s="1"/>
  <c r="DQ140" i="3"/>
  <c r="DP140" i="3"/>
  <c r="EG140" i="3"/>
  <c r="ED140" i="3"/>
  <c r="J201" i="3"/>
  <c r="GF138" i="3"/>
  <c r="D202" i="3"/>
  <c r="GC139" i="3"/>
  <c r="DM141" i="3"/>
  <c r="ER140" i="3"/>
  <c r="EH140" i="3"/>
  <c r="EE140" i="3"/>
  <c r="ET140" i="3"/>
  <c r="EQ140" i="3"/>
  <c r="DQ141" i="3" l="1"/>
  <c r="DR141" i="3"/>
  <c r="EB141" i="3"/>
  <c r="EC141" i="3" s="1"/>
  <c r="DP141" i="3"/>
  <c r="EC140" i="3"/>
  <c r="EG141" i="3"/>
  <c r="ED141" i="3"/>
  <c r="J202" i="3"/>
  <c r="GF139" i="3"/>
  <c r="D203" i="3"/>
  <c r="GC140" i="3"/>
  <c r="DM142" i="3"/>
  <c r="ER141" i="3"/>
  <c r="EQ141" i="3"/>
  <c r="EH141" i="3"/>
  <c r="EE141" i="3"/>
  <c r="EF141" i="3" l="1"/>
  <c r="DQ142" i="3"/>
  <c r="EB142" i="3"/>
  <c r="EC142" i="3" s="1"/>
  <c r="DR142" i="3"/>
  <c r="DP142" i="3"/>
  <c r="ED142" i="3"/>
  <c r="EG142" i="3"/>
  <c r="J203" i="3"/>
  <c r="GF140" i="3"/>
  <c r="D204" i="3"/>
  <c r="GC141" i="3"/>
  <c r="EQ142" i="3"/>
  <c r="EH142" i="3"/>
  <c r="DM143" i="3"/>
  <c r="ET142" i="3"/>
  <c r="ER142" i="3"/>
  <c r="EE142" i="3"/>
  <c r="EF142" i="3" l="1"/>
  <c r="DQ143" i="3"/>
  <c r="DR143" i="3"/>
  <c r="EB143" i="3"/>
  <c r="EC143" i="3" s="1"/>
  <c r="DP143" i="3"/>
  <c r="EG143" i="3"/>
  <c r="ED143" i="3"/>
  <c r="J204" i="3"/>
  <c r="GF141" i="3"/>
  <c r="D205" i="3"/>
  <c r="GC142" i="3"/>
  <c r="DM144" i="3"/>
  <c r="ER143" i="3"/>
  <c r="EQ143" i="3"/>
  <c r="EH143" i="3"/>
  <c r="EE143" i="3"/>
  <c r="ET143" i="3"/>
  <c r="DR144" i="3" l="1"/>
  <c r="EB144" i="3"/>
  <c r="EC144" i="3" s="1"/>
  <c r="DQ144" i="3"/>
  <c r="DP144" i="3"/>
  <c r="EF143" i="3"/>
  <c r="ED144" i="3"/>
  <c r="EG144" i="3"/>
  <c r="J205" i="3"/>
  <c r="GF142" i="3"/>
  <c r="D206" i="3"/>
  <c r="GC143" i="3"/>
  <c r="DM145" i="3"/>
  <c r="ET144" i="3"/>
  <c r="ER144" i="3"/>
  <c r="EQ144" i="3"/>
  <c r="EH144" i="3"/>
  <c r="EE144" i="3"/>
  <c r="EF144" i="3" l="1"/>
  <c r="DQ145" i="3"/>
  <c r="DR145" i="3"/>
  <c r="EB145" i="3"/>
  <c r="EF145" i="3" s="1"/>
  <c r="DP145" i="3"/>
  <c r="EG145" i="3"/>
  <c r="ED145" i="3"/>
  <c r="J206" i="3"/>
  <c r="GF143" i="3"/>
  <c r="D207" i="3"/>
  <c r="GC144" i="3"/>
  <c r="DM146" i="3"/>
  <c r="EQ145" i="3"/>
  <c r="ET145" i="3"/>
  <c r="ER145" i="3"/>
  <c r="EE145" i="3"/>
  <c r="EC145" i="3" l="1"/>
  <c r="DR146" i="3"/>
  <c r="DQ146" i="3"/>
  <c r="EB146" i="3"/>
  <c r="EC146" i="3" s="1"/>
  <c r="DP146" i="3"/>
  <c r="EG146" i="3"/>
  <c r="ED146" i="3"/>
  <c r="J207" i="3"/>
  <c r="GF144" i="3"/>
  <c r="D208" i="3"/>
  <c r="GC145" i="3"/>
  <c r="DM147" i="3"/>
  <c r="ER146" i="3"/>
  <c r="ET146" i="3"/>
  <c r="EQ146" i="3"/>
  <c r="EH146" i="3"/>
  <c r="EE146" i="3"/>
  <c r="DQ147" i="3" l="1"/>
  <c r="DR147" i="3"/>
  <c r="EB147" i="3"/>
  <c r="EF147" i="3" s="1"/>
  <c r="DP147" i="3"/>
  <c r="EF146" i="3"/>
  <c r="EG147" i="3"/>
  <c r="ED147" i="3"/>
  <c r="J208" i="3"/>
  <c r="GF145" i="3"/>
  <c r="D209" i="3"/>
  <c r="GC146" i="3"/>
  <c r="DM148" i="3"/>
  <c r="ET147" i="3"/>
  <c r="ER147" i="3"/>
  <c r="EE147" i="3"/>
  <c r="EQ147" i="3"/>
  <c r="EC147" i="3" l="1"/>
  <c r="DR148" i="3"/>
  <c r="EB148" i="3"/>
  <c r="EC148" i="3" s="1"/>
  <c r="DQ148" i="3"/>
  <c r="DP148" i="3"/>
  <c r="EG148" i="3"/>
  <c r="ED148" i="3"/>
  <c r="J209" i="3"/>
  <c r="GF146" i="3"/>
  <c r="D210" i="3"/>
  <c r="GC147" i="3"/>
  <c r="ET148" i="3"/>
  <c r="ER148" i="3"/>
  <c r="EH148" i="3"/>
  <c r="DM149" i="3"/>
  <c r="EQ148" i="3"/>
  <c r="EE148" i="3"/>
  <c r="EF148" i="3" l="1"/>
  <c r="DQ149" i="3"/>
  <c r="DR149" i="3"/>
  <c r="EB149" i="3"/>
  <c r="EC149" i="3" s="1"/>
  <c r="DP149" i="3"/>
  <c r="ED149" i="3"/>
  <c r="EG149" i="3"/>
  <c r="J210" i="3"/>
  <c r="GF147" i="3"/>
  <c r="D211" i="3"/>
  <c r="GC148" i="3"/>
  <c r="DM150" i="3"/>
  <c r="ER149" i="3"/>
  <c r="EQ149" i="3"/>
  <c r="EH149" i="3"/>
  <c r="EE149" i="3"/>
  <c r="EF149" i="3" l="1"/>
  <c r="EB150" i="3"/>
  <c r="EF150" i="3" s="1"/>
  <c r="DR150" i="3"/>
  <c r="DP150" i="3"/>
  <c r="DQ150" i="3"/>
  <c r="ED150" i="3"/>
  <c r="EG150" i="3"/>
  <c r="J211" i="3"/>
  <c r="GF148" i="3"/>
  <c r="D212" i="3"/>
  <c r="GC149" i="3"/>
  <c r="DM151" i="3"/>
  <c r="EQ150" i="3"/>
  <c r="EH150" i="3"/>
  <c r="ET150" i="3"/>
  <c r="ER150" i="3"/>
  <c r="EE150" i="3"/>
  <c r="EC150" i="3" l="1"/>
  <c r="DQ151" i="3"/>
  <c r="DR151" i="3"/>
  <c r="EB151" i="3"/>
  <c r="EF151" i="3" s="1"/>
  <c r="DP151" i="3"/>
  <c r="EG151" i="3"/>
  <c r="ED151" i="3"/>
  <c r="J212" i="3"/>
  <c r="D213" i="3"/>
  <c r="GC150" i="3"/>
  <c r="DM152" i="3"/>
  <c r="ET151" i="3"/>
  <c r="ER151" i="3"/>
  <c r="EQ151" i="3"/>
  <c r="EE151" i="3"/>
  <c r="EC151" i="3" l="1"/>
  <c r="DQ152" i="3"/>
  <c r="DR152" i="3"/>
  <c r="EB152" i="3"/>
  <c r="EC152" i="3" s="1"/>
  <c r="DP152" i="3"/>
  <c r="EG152" i="3"/>
  <c r="ED152" i="3"/>
  <c r="J213" i="3"/>
  <c r="GF150" i="3"/>
  <c r="D214" i="3"/>
  <c r="GC151" i="3"/>
  <c r="DM153" i="3"/>
  <c r="ER152" i="3"/>
  <c r="EH152" i="3"/>
  <c r="EE152" i="3"/>
  <c r="ET152" i="3"/>
  <c r="EQ152" i="3"/>
  <c r="EF152" i="3" l="1"/>
  <c r="DR153" i="3"/>
  <c r="EB153" i="3"/>
  <c r="EF153" i="3" s="1"/>
  <c r="DQ153" i="3"/>
  <c r="DP153" i="3"/>
  <c r="EG153" i="3"/>
  <c r="ED153" i="3"/>
  <c r="J214" i="3"/>
  <c r="GF151" i="3"/>
  <c r="D215" i="3"/>
  <c r="GC152" i="3"/>
  <c r="ER153" i="3"/>
  <c r="EE153" i="3"/>
  <c r="DM154" i="3"/>
  <c r="EQ153" i="3"/>
  <c r="ET153" i="3"/>
  <c r="EC153" i="3" l="1"/>
  <c r="DQ154" i="3"/>
  <c r="DR154" i="3"/>
  <c r="EB154" i="3"/>
  <c r="EF154" i="3" s="1"/>
  <c r="DP154" i="3"/>
  <c r="ED154" i="3"/>
  <c r="EG154" i="3"/>
  <c r="J215" i="3"/>
  <c r="GF152" i="3"/>
  <c r="D216" i="3"/>
  <c r="GC153" i="3"/>
  <c r="DM155" i="3"/>
  <c r="ET154" i="3"/>
  <c r="ER154" i="3"/>
  <c r="EE154" i="3"/>
  <c r="EQ154" i="3"/>
  <c r="EH154" i="3"/>
  <c r="EC154" i="3" l="1"/>
  <c r="DR155" i="3"/>
  <c r="DQ155" i="3"/>
  <c r="EB155" i="3"/>
  <c r="EF155" i="3" s="1"/>
  <c r="DP155" i="3"/>
  <c r="EG155" i="3"/>
  <c r="ED155" i="3"/>
  <c r="J216" i="3"/>
  <c r="GF153" i="3"/>
  <c r="D217" i="3"/>
  <c r="GC154" i="3"/>
  <c r="DM156" i="3"/>
  <c r="ER155" i="3"/>
  <c r="EQ155" i="3"/>
  <c r="ET155" i="3"/>
  <c r="EE155" i="3"/>
  <c r="EC155" i="3" l="1"/>
  <c r="DQ156" i="3"/>
  <c r="DR156" i="3"/>
  <c r="EB156" i="3"/>
  <c r="EC156" i="3" s="1"/>
  <c r="DP156" i="3"/>
  <c r="EG156" i="3"/>
  <c r="ED156" i="3"/>
  <c r="J217" i="3"/>
  <c r="GF154" i="3"/>
  <c r="D218" i="3"/>
  <c r="GC155" i="3"/>
  <c r="DM157" i="3"/>
  <c r="ER156" i="3"/>
  <c r="ET156" i="3"/>
  <c r="EQ156" i="3"/>
  <c r="EH156" i="3"/>
  <c r="EE156" i="3"/>
  <c r="EF156" i="3" l="1"/>
  <c r="DR157" i="3"/>
  <c r="EB157" i="3"/>
  <c r="EF157" i="3" s="1"/>
  <c r="DQ157" i="3"/>
  <c r="DP157" i="3"/>
  <c r="EG157" i="3"/>
  <c r="ED157" i="3"/>
  <c r="J218" i="3"/>
  <c r="GF155" i="3"/>
  <c r="D219" i="3"/>
  <c r="GC156" i="3"/>
  <c r="DM158" i="3"/>
  <c r="ET157" i="3"/>
  <c r="ER157" i="3"/>
  <c r="EQ157" i="3"/>
  <c r="EE157" i="3"/>
  <c r="EC157" i="3" l="1"/>
  <c r="DQ158" i="3"/>
  <c r="DR158" i="3"/>
  <c r="EB158" i="3"/>
  <c r="EC158" i="3" s="1"/>
  <c r="DP158" i="3"/>
  <c r="ED158" i="3"/>
  <c r="EG158" i="3"/>
  <c r="J219" i="3"/>
  <c r="GF156" i="3"/>
  <c r="D220" i="3"/>
  <c r="GC157" i="3"/>
  <c r="DM159" i="3"/>
  <c r="ER158" i="3"/>
  <c r="EH158" i="3"/>
  <c r="EE158" i="3"/>
  <c r="ET158" i="3"/>
  <c r="EQ158" i="3"/>
  <c r="EF158" i="3" l="1"/>
  <c r="DQ159" i="3"/>
  <c r="DR159" i="3"/>
  <c r="EB159" i="3"/>
  <c r="EC159" i="3" s="1"/>
  <c r="DP159" i="3"/>
  <c r="EG159" i="3"/>
  <c r="ED159" i="3"/>
  <c r="J220" i="3"/>
  <c r="GF157" i="3"/>
  <c r="D221" i="3"/>
  <c r="GC158" i="3"/>
  <c r="EE159" i="3"/>
  <c r="ET159" i="3"/>
  <c r="ER159" i="3"/>
  <c r="DM160" i="3"/>
  <c r="EQ159" i="3"/>
  <c r="EF159" i="3" l="1"/>
  <c r="DQ160" i="3"/>
  <c r="DR160" i="3"/>
  <c r="EB160" i="3"/>
  <c r="EC160" i="3" s="1"/>
  <c r="DP160" i="3"/>
  <c r="ED160" i="3"/>
  <c r="EG160" i="3"/>
  <c r="J221" i="3"/>
  <c r="GF158" i="3"/>
  <c r="D222" i="3"/>
  <c r="GC159" i="3"/>
  <c r="DM161" i="3"/>
  <c r="ET160" i="3"/>
  <c r="EQ160" i="3"/>
  <c r="EH160" i="3"/>
  <c r="EE160" i="3"/>
  <c r="ER160" i="3"/>
  <c r="DR161" i="3" l="1"/>
  <c r="DQ161" i="3"/>
  <c r="EB161" i="3"/>
  <c r="EF161" i="3" s="1"/>
  <c r="DP161" i="3"/>
  <c r="EF160" i="3"/>
  <c r="EG161" i="3"/>
  <c r="ED161" i="3"/>
  <c r="J222" i="3"/>
  <c r="GF159" i="3"/>
  <c r="D223" i="3"/>
  <c r="GC160" i="3"/>
  <c r="ET161" i="3"/>
  <c r="DM162" i="3"/>
  <c r="EQ161" i="3"/>
  <c r="EE161" i="3"/>
  <c r="ER161" i="3"/>
  <c r="EC161" i="3" l="1"/>
  <c r="DQ162" i="3"/>
  <c r="DR162" i="3"/>
  <c r="EB162" i="3"/>
  <c r="EF162" i="3" s="1"/>
  <c r="DP162" i="3"/>
  <c r="EG162" i="3"/>
  <c r="ED162" i="3"/>
  <c r="J223" i="3"/>
  <c r="GF160" i="3"/>
  <c r="D224" i="3"/>
  <c r="GC161" i="3"/>
  <c r="DM163" i="3"/>
  <c r="EQ162" i="3"/>
  <c r="EE162" i="3"/>
  <c r="ER162" i="3"/>
  <c r="ET162" i="3"/>
  <c r="EH162" i="3"/>
  <c r="EC162" i="3" l="1"/>
  <c r="DR163" i="3"/>
  <c r="DQ163" i="3"/>
  <c r="EB163" i="3"/>
  <c r="EC163" i="3" s="1"/>
  <c r="DP163" i="3"/>
  <c r="EG163" i="3"/>
  <c r="ED163" i="3"/>
  <c r="J224" i="3"/>
  <c r="GF161" i="3"/>
  <c r="D225" i="3"/>
  <c r="GC162" i="3"/>
  <c r="DM164" i="3"/>
  <c r="EE163" i="3"/>
  <c r="ET163" i="3"/>
  <c r="ER163" i="3"/>
  <c r="EQ163" i="3"/>
  <c r="EF163" i="3" l="1"/>
  <c r="DQ164" i="3"/>
  <c r="DR164" i="3"/>
  <c r="EB164" i="3"/>
  <c r="EC164" i="3" s="1"/>
  <c r="DP164" i="3"/>
  <c r="EG164" i="3"/>
  <c r="ED164" i="3"/>
  <c r="J225" i="3"/>
  <c r="GF162" i="3"/>
  <c r="D226" i="3"/>
  <c r="GC163" i="3"/>
  <c r="DM165" i="3"/>
  <c r="EE164" i="3"/>
  <c r="EQ164" i="3"/>
  <c r="EH164" i="3"/>
  <c r="ET164" i="3"/>
  <c r="ER164" i="3"/>
  <c r="EF164" i="3" l="1"/>
  <c r="DR165" i="3"/>
  <c r="EB165" i="3"/>
  <c r="EC165" i="3" s="1"/>
  <c r="DQ165" i="3"/>
  <c r="DP165" i="3"/>
  <c r="ED165" i="3"/>
  <c r="EG165" i="3"/>
  <c r="J226" i="3"/>
  <c r="GF163" i="3"/>
  <c r="D227" i="3"/>
  <c r="GC164" i="3"/>
  <c r="DM166" i="3"/>
  <c r="ET165" i="3"/>
  <c r="ER165" i="3"/>
  <c r="EE165" i="3"/>
  <c r="EQ165" i="3"/>
  <c r="EF165" i="3" l="1"/>
  <c r="DQ166" i="3"/>
  <c r="DR166" i="3"/>
  <c r="EB166" i="3"/>
  <c r="EC166" i="3" s="1"/>
  <c r="DP166" i="3"/>
  <c r="ED166" i="3"/>
  <c r="EG166" i="3"/>
  <c r="J227" i="3"/>
  <c r="GF164" i="3"/>
  <c r="D228" i="3"/>
  <c r="GC165" i="3"/>
  <c r="DM167" i="3"/>
  <c r="ET166" i="3"/>
  <c r="ER166" i="3"/>
  <c r="EE166" i="3"/>
  <c r="EQ166" i="3"/>
  <c r="EH166" i="3"/>
  <c r="DQ167" i="3" l="1"/>
  <c r="DR167" i="3"/>
  <c r="EB167" i="3"/>
  <c r="EC167" i="3" s="1"/>
  <c r="DP167" i="3"/>
  <c r="EF166" i="3"/>
  <c r="EG167" i="3"/>
  <c r="ED167" i="3"/>
  <c r="J228" i="3"/>
  <c r="GF165" i="3"/>
  <c r="D229" i="3"/>
  <c r="GC166" i="3"/>
  <c r="DM168" i="3"/>
  <c r="EQ167" i="3"/>
  <c r="EE167" i="3"/>
  <c r="ET167" i="3"/>
  <c r="ER167" i="3"/>
  <c r="EF167" i="3" l="1"/>
  <c r="DQ168" i="3"/>
  <c r="DR168" i="3"/>
  <c r="EB168" i="3"/>
  <c r="EC168" i="3" s="1"/>
  <c r="DP168" i="3"/>
  <c r="EG168" i="3"/>
  <c r="ED168" i="3"/>
  <c r="J229" i="3"/>
  <c r="GF166" i="3"/>
  <c r="D230" i="3"/>
  <c r="GC167" i="3"/>
  <c r="ET168" i="3"/>
  <c r="DM169" i="3"/>
  <c r="EQ168" i="3"/>
  <c r="EE168" i="3"/>
  <c r="ER168" i="3"/>
  <c r="EH168" i="3"/>
  <c r="DR169" i="3" l="1"/>
  <c r="EB169" i="3"/>
  <c r="EF169" i="3" s="1"/>
  <c r="DQ169" i="3"/>
  <c r="DP169" i="3"/>
  <c r="EF168" i="3"/>
  <c r="EG169" i="3"/>
  <c r="ED169" i="3"/>
  <c r="J230" i="3"/>
  <c r="GF167" i="3"/>
  <c r="D231" i="3"/>
  <c r="GC168" i="3"/>
  <c r="DM170" i="3"/>
  <c r="EH169" i="3"/>
  <c r="ER169" i="3"/>
  <c r="EQ169" i="3"/>
  <c r="EE169" i="3"/>
  <c r="EC169" i="3" l="1"/>
  <c r="DQ170" i="3"/>
  <c r="DR170" i="3"/>
  <c r="EB170" i="3"/>
  <c r="EC170" i="3" s="1"/>
  <c r="DP170" i="3"/>
  <c r="ED170" i="3"/>
  <c r="EG170" i="3"/>
  <c r="J231" i="3"/>
  <c r="GF168" i="3"/>
  <c r="D232" i="3"/>
  <c r="GC169" i="3"/>
  <c r="DM171" i="3"/>
  <c r="ER170" i="3"/>
  <c r="ET170" i="3"/>
  <c r="EQ170" i="3"/>
  <c r="EH170" i="3"/>
  <c r="EE170" i="3"/>
  <c r="EF170" i="3" l="1"/>
  <c r="DR171" i="3"/>
  <c r="EB171" i="3"/>
  <c r="EC171" i="3" s="1"/>
  <c r="DQ171" i="3"/>
  <c r="DP171" i="3"/>
  <c r="EG171" i="3"/>
  <c r="ED171" i="3"/>
  <c r="J232" i="3"/>
  <c r="GF169" i="3"/>
  <c r="D233" i="3"/>
  <c r="GC170" i="3"/>
  <c r="ET171" i="3"/>
  <c r="EQ171" i="3"/>
  <c r="EH171" i="3"/>
  <c r="EE171" i="3"/>
  <c r="DM172" i="3"/>
  <c r="ER171" i="3"/>
  <c r="DQ172" i="3" l="1"/>
  <c r="DR172" i="3"/>
  <c r="EB172" i="3"/>
  <c r="EF172" i="3" s="1"/>
  <c r="DP172" i="3"/>
  <c r="EF171" i="3"/>
  <c r="EG172" i="3"/>
  <c r="ED172" i="3"/>
  <c r="J233" i="3"/>
  <c r="GF170" i="3"/>
  <c r="D234" i="3"/>
  <c r="GC171" i="3"/>
  <c r="DM173" i="3"/>
  <c r="ET172" i="3"/>
  <c r="EQ172" i="3"/>
  <c r="EH172" i="3"/>
  <c r="EE172" i="3"/>
  <c r="ER172" i="3"/>
  <c r="EC172" i="3" l="1"/>
  <c r="DR173" i="3"/>
  <c r="EB173" i="3"/>
  <c r="EC173" i="3" s="1"/>
  <c r="DQ173" i="3"/>
  <c r="DP173" i="3"/>
  <c r="EG173" i="3"/>
  <c r="ED173" i="3"/>
  <c r="J234" i="3"/>
  <c r="GF171" i="3"/>
  <c r="D235" i="3"/>
  <c r="GC172" i="3"/>
  <c r="DM174" i="3"/>
  <c r="ET173" i="3"/>
  <c r="ER173" i="3"/>
  <c r="EQ173" i="3"/>
  <c r="EE173" i="3"/>
  <c r="EF173" i="3" l="1"/>
  <c r="DQ174" i="3"/>
  <c r="DR174" i="3"/>
  <c r="EB174" i="3"/>
  <c r="EF174" i="3" s="1"/>
  <c r="DP174" i="3"/>
  <c r="ED174" i="3"/>
  <c r="EG174" i="3"/>
  <c r="J235" i="3"/>
  <c r="GF172" i="3"/>
  <c r="D236" i="3"/>
  <c r="GC173" i="3"/>
  <c r="DM175" i="3"/>
  <c r="ET174" i="3"/>
  <c r="ER174" i="3"/>
  <c r="EE174" i="3"/>
  <c r="EQ174" i="3"/>
  <c r="EH174" i="3"/>
  <c r="EC174" i="3" l="1"/>
  <c r="DQ175" i="3"/>
  <c r="DR175" i="3"/>
  <c r="EB175" i="3"/>
  <c r="EF175" i="3" s="1"/>
  <c r="DP175" i="3"/>
  <c r="EG175" i="3"/>
  <c r="ED175" i="3"/>
  <c r="J236" i="3"/>
  <c r="GF173" i="3"/>
  <c r="D237" i="3"/>
  <c r="GC174" i="3"/>
  <c r="DM176" i="3"/>
  <c r="ER175" i="3"/>
  <c r="EH175" i="3"/>
  <c r="EE175" i="3"/>
  <c r="EQ175" i="3"/>
  <c r="EC175" i="3" l="1"/>
  <c r="DR176" i="3"/>
  <c r="DQ176" i="3"/>
  <c r="EB176" i="3"/>
  <c r="EC176" i="3" s="1"/>
  <c r="DP176" i="3"/>
  <c r="EG176" i="3"/>
  <c r="ED176" i="3"/>
  <c r="J237" i="3"/>
  <c r="GF174" i="3"/>
  <c r="D238" i="3"/>
  <c r="GC175" i="3"/>
  <c r="DM177" i="3"/>
  <c r="ER176" i="3"/>
  <c r="ET176" i="3"/>
  <c r="EQ176" i="3"/>
  <c r="EH176" i="3"/>
  <c r="EE176" i="3"/>
  <c r="EF176" i="3" l="1"/>
  <c r="EB177" i="3"/>
  <c r="EC177" i="3" s="1"/>
  <c r="DQ177" i="3"/>
  <c r="DR177" i="3"/>
  <c r="DP177" i="3"/>
  <c r="EG177" i="3"/>
  <c r="ED177" i="3"/>
  <c r="J238" i="3"/>
  <c r="GF175" i="3"/>
  <c r="D239" i="3"/>
  <c r="GC176" i="3"/>
  <c r="DM178" i="3"/>
  <c r="EQ177" i="3"/>
  <c r="ET177" i="3"/>
  <c r="ER177" i="3"/>
  <c r="EE177" i="3"/>
  <c r="EF177" i="3" l="1"/>
  <c r="DR178" i="3"/>
  <c r="EB178" i="3"/>
  <c r="EC178" i="3" s="1"/>
  <c r="DQ178" i="3"/>
  <c r="DP178" i="3"/>
  <c r="EG178" i="3"/>
  <c r="ED178" i="3"/>
  <c r="J239" i="3"/>
  <c r="GF176" i="3"/>
  <c r="D240" i="3"/>
  <c r="GC177" i="3"/>
  <c r="EQ178" i="3"/>
  <c r="ER178" i="3"/>
  <c r="EH178" i="3"/>
  <c r="EE178" i="3"/>
  <c r="DM179" i="3"/>
  <c r="ET178" i="3"/>
  <c r="EF178" i="3" l="1"/>
  <c r="DQ179" i="3"/>
  <c r="DR179" i="3"/>
  <c r="EB179" i="3"/>
  <c r="EC179" i="3" s="1"/>
  <c r="DP179" i="3"/>
  <c r="EG179" i="3"/>
  <c r="ED179" i="3"/>
  <c r="J240" i="3"/>
  <c r="GF177" i="3"/>
  <c r="D241" i="3"/>
  <c r="GC178" i="3"/>
  <c r="DM180" i="3"/>
  <c r="EQ179" i="3"/>
  <c r="ET179" i="3"/>
  <c r="ER179" i="3"/>
  <c r="EE179" i="3"/>
  <c r="DR180" i="3" l="1"/>
  <c r="DQ180" i="3"/>
  <c r="EB180" i="3"/>
  <c r="EF180" i="3" s="1"/>
  <c r="DP180" i="3"/>
  <c r="EF179" i="3"/>
  <c r="EG180" i="3"/>
  <c r="ED180" i="3"/>
  <c r="J241" i="3"/>
  <c r="GF178" i="3"/>
  <c r="D242" i="3"/>
  <c r="GC179" i="3"/>
  <c r="DM181" i="3"/>
  <c r="ET180" i="3"/>
  <c r="ER180" i="3"/>
  <c r="EH180" i="3"/>
  <c r="EQ180" i="3"/>
  <c r="EE180" i="3"/>
  <c r="EC180" i="3" l="1"/>
  <c r="DR181" i="3"/>
  <c r="EB181" i="3"/>
  <c r="EC181" i="3" s="1"/>
  <c r="DQ181" i="3"/>
  <c r="DP181" i="3"/>
  <c r="ED181" i="3"/>
  <c r="EG181" i="3"/>
  <c r="J242" i="3"/>
  <c r="GF179" i="3"/>
  <c r="D243" i="3"/>
  <c r="GC180" i="3"/>
  <c r="DM182" i="3"/>
  <c r="ER181" i="3"/>
  <c r="EQ181" i="3"/>
  <c r="EH181" i="3"/>
  <c r="EE181" i="3"/>
  <c r="EF181" i="3" l="1"/>
  <c r="DR182" i="3"/>
  <c r="DQ182" i="3"/>
  <c r="EB182" i="3"/>
  <c r="EC182" i="3" s="1"/>
  <c r="DP182" i="3"/>
  <c r="EG182" i="3"/>
  <c r="ED182" i="3"/>
  <c r="J243" i="3"/>
  <c r="GF180" i="3"/>
  <c r="D244" i="3"/>
  <c r="GC181" i="3"/>
  <c r="EQ182" i="3"/>
  <c r="ET182" i="3"/>
  <c r="ER182" i="3"/>
  <c r="EH182" i="3"/>
  <c r="DM183" i="3"/>
  <c r="EE182" i="3"/>
  <c r="EF182" i="3" l="1"/>
  <c r="DQ183" i="3"/>
  <c r="DR183" i="3"/>
  <c r="EB183" i="3"/>
  <c r="EC183" i="3" s="1"/>
  <c r="DP183" i="3"/>
  <c r="EG183" i="3"/>
  <c r="ED183" i="3"/>
  <c r="J244" i="3"/>
  <c r="GF181" i="3"/>
  <c r="D245" i="3"/>
  <c r="GC182" i="3"/>
  <c r="DM184" i="3"/>
  <c r="ET183" i="3"/>
  <c r="ER183" i="3"/>
  <c r="EQ183" i="3"/>
  <c r="EE183" i="3"/>
  <c r="EF183" i="3" l="1"/>
  <c r="DR184" i="3"/>
  <c r="DQ184" i="3"/>
  <c r="EB184" i="3"/>
  <c r="EF184" i="3" s="1"/>
  <c r="DP184" i="3"/>
  <c r="EG184" i="3"/>
  <c r="ED184" i="3"/>
  <c r="J245" i="3"/>
  <c r="GF182" i="3"/>
  <c r="D246" i="3"/>
  <c r="GC183" i="3"/>
  <c r="DM185" i="3"/>
  <c r="ET184" i="3"/>
  <c r="EQ184" i="3"/>
  <c r="EH184" i="3"/>
  <c r="EE184" i="3"/>
  <c r="ER184" i="3"/>
  <c r="EC184" i="3" l="1"/>
  <c r="EB185" i="3"/>
  <c r="EC185" i="3" s="1"/>
  <c r="DR185" i="3"/>
  <c r="DQ185" i="3"/>
  <c r="DP185" i="3"/>
  <c r="ED185" i="3"/>
  <c r="EG185" i="3"/>
  <c r="J246" i="3"/>
  <c r="GF183" i="3"/>
  <c r="D247" i="3"/>
  <c r="GC184" i="3"/>
  <c r="DM186" i="3"/>
  <c r="ER185" i="3"/>
  <c r="EH185" i="3"/>
  <c r="EE185" i="3"/>
  <c r="EQ185" i="3"/>
  <c r="EF185" i="3" l="1"/>
  <c r="DR186" i="3"/>
  <c r="EB186" i="3"/>
  <c r="EC186" i="3" s="1"/>
  <c r="DQ186" i="3"/>
  <c r="DP186" i="3"/>
  <c r="EG186" i="3"/>
  <c r="ED186" i="3"/>
  <c r="J247" i="3"/>
  <c r="GF184" i="3"/>
  <c r="D248" i="3"/>
  <c r="GC185" i="3"/>
  <c r="ER186" i="3"/>
  <c r="EQ186" i="3"/>
  <c r="EE186" i="3"/>
  <c r="ET186" i="3"/>
  <c r="EH186" i="3"/>
  <c r="EF186" i="3" l="1"/>
  <c r="J248" i="3"/>
  <c r="GF185" i="3"/>
  <c r="D324" i="3"/>
  <c r="C324" i="3" l="1"/>
  <c r="D325" i="3"/>
  <c r="J324" i="3"/>
  <c r="K324" i="3"/>
  <c r="C325" i="3" l="1"/>
  <c r="J325" i="3"/>
  <c r="K325" i="3"/>
  <c r="GA5" i="3"/>
  <c r="EH39" i="3"/>
  <c r="ET41" i="3"/>
  <c r="ET53" i="3"/>
  <c r="ET83" i="3"/>
  <c r="ET85" i="3"/>
  <c r="ET87" i="3"/>
  <c r="ET89" i="3"/>
  <c r="EH94" i="3"/>
  <c r="ET95" i="3"/>
  <c r="EH97" i="3"/>
  <c r="EH99" i="3"/>
  <c r="EH103" i="3"/>
  <c r="EH111" i="3"/>
  <c r="ET115" i="3"/>
  <c r="EH117" i="3"/>
  <c r="ET119" i="3"/>
  <c r="EH121" i="3"/>
  <c r="EH123" i="3"/>
  <c r="ET125" i="3"/>
  <c r="ET127" i="3"/>
  <c r="ET133" i="3"/>
  <c r="EH135" i="3"/>
  <c r="ET141" i="3"/>
  <c r="EH145" i="3"/>
  <c r="EH147" i="3"/>
  <c r="ET149" i="3"/>
  <c r="DT38" i="3"/>
  <c r="DI10" i="3" l="1"/>
  <c r="GS17" i="3" s="1"/>
  <c r="GU17" i="3" s="1"/>
  <c r="GA6" i="3"/>
  <c r="GU23" i="3"/>
  <c r="DT134" i="3" s="1"/>
  <c r="GQ17" i="3" l="1"/>
  <c r="DJ10" i="3"/>
  <c r="DK10" i="3" s="1"/>
  <c r="ES137" i="3" s="1"/>
  <c r="GS18" i="3"/>
  <c r="GU18" i="3" s="1"/>
  <c r="DI21" i="3"/>
  <c r="DJ21" i="3" s="1"/>
  <c r="DK21" i="3" s="1"/>
  <c r="GR17" i="3" l="1"/>
  <c r="GQ18" i="3"/>
  <c r="GR18" i="3" s="1"/>
  <c r="GS19" i="3"/>
  <c r="ES78" i="3"/>
  <c r="ES21" i="3"/>
  <c r="ES174" i="3"/>
  <c r="ES136" i="3"/>
  <c r="ES63" i="3"/>
  <c r="ES68" i="3"/>
  <c r="ES160" i="3"/>
  <c r="ES26" i="3"/>
  <c r="ES73" i="3"/>
  <c r="ES54" i="3"/>
  <c r="ES159" i="3"/>
  <c r="ES40" i="3"/>
  <c r="ES10" i="3"/>
  <c r="ES45" i="3"/>
  <c r="ES102" i="3"/>
  <c r="ES103" i="3"/>
  <c r="ES37" i="3"/>
  <c r="ES93" i="3"/>
  <c r="ES111" i="3"/>
  <c r="ES182" i="3"/>
  <c r="ES145" i="3"/>
  <c r="ES119" i="3"/>
  <c r="ES95" i="3"/>
  <c r="ES34" i="3"/>
  <c r="ES90" i="3"/>
  <c r="ES84" i="3"/>
  <c r="ES29" i="3"/>
  <c r="ES81" i="3"/>
  <c r="ES169" i="3"/>
  <c r="ES166" i="3"/>
  <c r="ES107" i="3"/>
  <c r="ES60" i="3"/>
  <c r="ES18" i="3"/>
  <c r="ES53" i="3"/>
  <c r="ES55" i="3"/>
  <c r="ES13" i="3"/>
  <c r="ES48" i="3"/>
  <c r="ES153" i="3"/>
  <c r="ES173" i="3"/>
  <c r="ES176" i="3"/>
  <c r="ES185" i="3"/>
  <c r="ES128" i="3"/>
  <c r="ES129" i="3"/>
  <c r="ES177" i="3"/>
  <c r="ES144" i="3"/>
  <c r="ES155" i="3"/>
  <c r="ES133" i="3"/>
  <c r="ES116" i="3"/>
  <c r="ES184" i="3"/>
  <c r="ES47" i="3"/>
  <c r="ES51" i="3"/>
  <c r="ES35" i="3"/>
  <c r="ES12" i="3"/>
  <c r="ES58" i="3"/>
  <c r="ES97" i="3"/>
  <c r="ES118" i="3"/>
  <c r="ES147" i="3"/>
  <c r="ES115" i="3"/>
  <c r="ES156" i="3"/>
  <c r="ES109" i="3"/>
  <c r="ES124" i="3"/>
  <c r="ES70" i="3"/>
  <c r="ES28" i="3"/>
  <c r="ES80" i="3"/>
  <c r="ES132" i="3"/>
  <c r="ES24" i="3"/>
  <c r="ES171" i="3"/>
  <c r="ES149" i="3"/>
  <c r="ES61" i="3"/>
  <c r="ES19" i="3"/>
  <c r="ES91" i="3"/>
  <c r="ES162" i="3"/>
  <c r="ES178" i="3"/>
  <c r="ES139" i="3"/>
  <c r="ES127" i="3"/>
  <c r="ES56" i="3"/>
  <c r="ES85" i="3"/>
  <c r="ES14" i="3"/>
  <c r="ES30" i="3"/>
  <c r="ES49" i="3"/>
  <c r="ES82" i="3"/>
  <c r="ES39" i="3"/>
  <c r="ES67" i="3"/>
  <c r="ES9" i="3"/>
  <c r="ES25" i="3"/>
  <c r="ES44" i="3"/>
  <c r="ES77" i="3"/>
  <c r="ES101" i="3"/>
  <c r="ES165" i="3"/>
  <c r="ES181" i="3"/>
  <c r="ES125" i="3"/>
  <c r="ES120" i="3"/>
  <c r="ES122" i="3"/>
  <c r="ES180" i="3"/>
  <c r="ES143" i="3"/>
  <c r="ES62" i="3"/>
  <c r="ES20" i="3"/>
  <c r="ES72" i="3"/>
  <c r="ES150" i="3"/>
  <c r="ES8" i="3"/>
  <c r="ES100" i="3"/>
  <c r="ES163" i="3"/>
  <c r="ES134" i="3"/>
  <c r="ES41" i="3"/>
  <c r="ES11" i="3"/>
  <c r="ES79" i="3"/>
  <c r="ES154" i="3"/>
  <c r="ES170" i="3"/>
  <c r="ES186" i="3"/>
  <c r="ES142" i="3"/>
  <c r="ES146" i="3"/>
  <c r="ES113" i="3"/>
  <c r="ES64" i="3"/>
  <c r="ES104" i="3"/>
  <c r="ES22" i="3"/>
  <c r="ES38" i="3"/>
  <c r="ES74" i="3"/>
  <c r="ES96" i="3"/>
  <c r="ES59" i="3"/>
  <c r="ES94" i="3"/>
  <c r="ES17" i="3"/>
  <c r="ES33" i="3"/>
  <c r="ES52" i="3"/>
  <c r="ES87" i="3"/>
  <c r="ES157" i="3"/>
  <c r="ES172" i="3"/>
  <c r="ES114" i="3"/>
  <c r="ES138" i="3"/>
  <c r="ES106" i="3"/>
  <c r="ES164" i="3"/>
  <c r="ES126" i="3"/>
  <c r="ES110" i="3"/>
  <c r="ES98" i="3"/>
  <c r="ES36" i="3"/>
  <c r="ES92" i="3"/>
  <c r="ES117" i="3"/>
  <c r="ES32" i="3"/>
  <c r="ES131" i="3"/>
  <c r="ES179" i="3"/>
  <c r="ES130" i="3"/>
  <c r="ES69" i="3"/>
  <c r="ES27" i="3"/>
  <c r="ES152" i="3"/>
  <c r="ES89" i="3"/>
  <c r="ES76" i="3"/>
  <c r="ES46" i="3"/>
  <c r="ES168" i="3"/>
  <c r="ES123" i="3"/>
  <c r="ES7" i="3"/>
  <c r="ES66" i="3"/>
  <c r="ES43" i="3"/>
  <c r="ES83" i="3"/>
  <c r="ES86" i="3"/>
  <c r="ES65" i="3"/>
  <c r="ES15" i="3"/>
  <c r="ES112" i="3"/>
  <c r="ES57" i="3"/>
  <c r="ES105" i="3"/>
  <c r="ES140" i="3"/>
  <c r="ES31" i="3"/>
  <c r="ES75" i="3"/>
  <c r="ES108" i="3"/>
  <c r="ES121" i="3"/>
  <c r="ES71" i="3"/>
  <c r="ES161" i="3"/>
  <c r="ES148" i="3"/>
  <c r="ES16" i="3"/>
  <c r="ES88" i="3"/>
  <c r="ES23" i="3"/>
  <c r="ES99" i="3"/>
  <c r="ES135" i="3"/>
  <c r="ES141" i="3"/>
  <c r="ES50" i="3"/>
  <c r="ES42" i="3"/>
  <c r="ES175" i="3"/>
  <c r="ES167" i="3"/>
  <c r="ES158" i="3"/>
  <c r="ES151" i="3"/>
  <c r="ES183" i="3"/>
  <c r="GU24" i="3"/>
  <c r="DT166" i="3" s="1"/>
  <c r="GQ22" i="3" l="1"/>
  <c r="GR22" i="3" s="1"/>
  <c r="GU19" i="3"/>
  <c r="DS82" i="3"/>
  <c r="DS57" i="3"/>
  <c r="DS29" i="3"/>
  <c r="DS171" i="3"/>
  <c r="DS71" i="3"/>
  <c r="DS107" i="3"/>
  <c r="DS146" i="3"/>
  <c r="DS47" i="3"/>
  <c r="DS94" i="3"/>
  <c r="DS163" i="3"/>
  <c r="DS40" i="3"/>
  <c r="DS50" i="3"/>
  <c r="DS72" i="3"/>
  <c r="DS131" i="3"/>
  <c r="DS28" i="3"/>
  <c r="DS155" i="3"/>
  <c r="DS123" i="3"/>
  <c r="DS14" i="3"/>
  <c r="DS76" i="3"/>
  <c r="DS77" i="3"/>
  <c r="DS179" i="3"/>
  <c r="DS129" i="3"/>
  <c r="DS115" i="3"/>
  <c r="DS13" i="3"/>
  <c r="DS138" i="3"/>
  <c r="DS59" i="3"/>
  <c r="DS51" i="3"/>
  <c r="DS41" i="3"/>
  <c r="DS31" i="3"/>
  <c r="DS101" i="3"/>
  <c r="DS69" i="3"/>
  <c r="DS141" i="3"/>
  <c r="DS86" i="3"/>
  <c r="DS185" i="3"/>
  <c r="DS177" i="3"/>
  <c r="DS169" i="3"/>
  <c r="DS161" i="3"/>
  <c r="DS153" i="3"/>
  <c r="DS95" i="3"/>
  <c r="DS63" i="3"/>
  <c r="DS32" i="3"/>
  <c r="DS121" i="3"/>
  <c r="DS113" i="3"/>
  <c r="DS105" i="3"/>
  <c r="DS42" i="3"/>
  <c r="DS27" i="3"/>
  <c r="DS9" i="3"/>
  <c r="DS100" i="3"/>
  <c r="DS134" i="3"/>
  <c r="DS26" i="3"/>
  <c r="DS8" i="3"/>
  <c r="DS149" i="3"/>
  <c r="DS93" i="3"/>
  <c r="DS61" i="3"/>
  <c r="DS74" i="3"/>
  <c r="DS183" i="3"/>
  <c r="DS175" i="3"/>
  <c r="DS167" i="3"/>
  <c r="DS159" i="3"/>
  <c r="DS151" i="3"/>
  <c r="DS87" i="3"/>
  <c r="DS56" i="3"/>
  <c r="DS20" i="3"/>
  <c r="DS119" i="3"/>
  <c r="DS111" i="3"/>
  <c r="DS103" i="3"/>
  <c r="DS34" i="3"/>
  <c r="DS21" i="3"/>
  <c r="DS92" i="3"/>
  <c r="DS88" i="3"/>
  <c r="DS147" i="3"/>
  <c r="DS144" i="3"/>
  <c r="DS139" i="3"/>
  <c r="DS85" i="3"/>
  <c r="DS45" i="3"/>
  <c r="DS128" i="3"/>
  <c r="DS66" i="3"/>
  <c r="DS181" i="3"/>
  <c r="DS173" i="3"/>
  <c r="DS165" i="3"/>
  <c r="DS157" i="3"/>
  <c r="DS137" i="3"/>
  <c r="DS79" i="3"/>
  <c r="DS48" i="3"/>
  <c r="DS125" i="3"/>
  <c r="DS117" i="3"/>
  <c r="DS109" i="3"/>
  <c r="DS58" i="3"/>
  <c r="DS22" i="3"/>
  <c r="DS17" i="3"/>
  <c r="DS142" i="3"/>
  <c r="DS96" i="3"/>
  <c r="DS68" i="3"/>
  <c r="DS130" i="3"/>
  <c r="DS64" i="3"/>
  <c r="DS24" i="3"/>
  <c r="DS49" i="3"/>
  <c r="DS148" i="3"/>
  <c r="DS39" i="3"/>
  <c r="DS145" i="3"/>
  <c r="DS127" i="3"/>
  <c r="DS89" i="3"/>
  <c r="DS73" i="3"/>
  <c r="DS53" i="3"/>
  <c r="DS16" i="3"/>
  <c r="DS132" i="3"/>
  <c r="DS90" i="3"/>
  <c r="DS70" i="3"/>
  <c r="DS186" i="3"/>
  <c r="DS182" i="3"/>
  <c r="DS178" i="3"/>
  <c r="DS174" i="3"/>
  <c r="DS170" i="3"/>
  <c r="DS166" i="3"/>
  <c r="DS162" i="3"/>
  <c r="DS154" i="3"/>
  <c r="DS150" i="3"/>
  <c r="DS99" i="3"/>
  <c r="DS83" i="3"/>
  <c r="DS67" i="3"/>
  <c r="DS52" i="3"/>
  <c r="DS36" i="3"/>
  <c r="DS12" i="3"/>
  <c r="DS122" i="3"/>
  <c r="DS118" i="3"/>
  <c r="DS110" i="3"/>
  <c r="DS106" i="3"/>
  <c r="DS102" i="3"/>
  <c r="DS46" i="3"/>
  <c r="DS30" i="3"/>
  <c r="DS10" i="3"/>
  <c r="DS19" i="3"/>
  <c r="DS11" i="3"/>
  <c r="DS126" i="3"/>
  <c r="DS84" i="3"/>
  <c r="DS35" i="3"/>
  <c r="DS80" i="3"/>
  <c r="DS43" i="3"/>
  <c r="DS143" i="3"/>
  <c r="DS33" i="3"/>
  <c r="DS55" i="3"/>
  <c r="DS6" i="3"/>
  <c r="DS135" i="3"/>
  <c r="DS97" i="3"/>
  <c r="DS81" i="3"/>
  <c r="DS65" i="3"/>
  <c r="DS37" i="3"/>
  <c r="DS140" i="3"/>
  <c r="DS98" i="3"/>
  <c r="DS78" i="3"/>
  <c r="DS62" i="3"/>
  <c r="DS184" i="3"/>
  <c r="DS180" i="3"/>
  <c r="DS176" i="3"/>
  <c r="DS172" i="3"/>
  <c r="DS164" i="3"/>
  <c r="DS160" i="3"/>
  <c r="DS156" i="3"/>
  <c r="DS152" i="3"/>
  <c r="DS133" i="3"/>
  <c r="DS91" i="3"/>
  <c r="DS75" i="3"/>
  <c r="DS60" i="3"/>
  <c r="DS44" i="3"/>
  <c r="DS25" i="3"/>
  <c r="DS124" i="3"/>
  <c r="DS120" i="3"/>
  <c r="DS116" i="3"/>
  <c r="DS112" i="3"/>
  <c r="DS108" i="3"/>
  <c r="DS104" i="3"/>
  <c r="DS54" i="3"/>
  <c r="DS38" i="3"/>
  <c r="DS18" i="3"/>
  <c r="DS23" i="3"/>
  <c r="DS15" i="3"/>
  <c r="DS7" i="3"/>
  <c r="GQ26" i="3"/>
  <c r="GR26" i="3" s="1"/>
  <c r="GQ27" i="3"/>
  <c r="GR27" i="3" s="1"/>
  <c r="GQ20" i="3"/>
  <c r="GR20" i="3" s="1"/>
  <c r="GQ24" i="3"/>
  <c r="GR24" i="3" s="1"/>
  <c r="GQ25" i="3"/>
  <c r="GR25" i="3" s="1"/>
  <c r="GQ23" i="3"/>
  <c r="GR23" i="3" s="1"/>
  <c r="GQ19" i="3"/>
  <c r="GR19" i="3" s="1"/>
  <c r="GQ21" i="3"/>
  <c r="GR21" i="3" s="1"/>
  <c r="GH5" i="3" l="1"/>
  <c r="O227" i="3"/>
  <c r="GH164" i="3"/>
  <c r="O213" i="3"/>
  <c r="GH150" i="3"/>
  <c r="O242" i="3"/>
  <c r="GH179" i="3"/>
  <c r="O219" i="3"/>
  <c r="GH156" i="3"/>
  <c r="O243" i="3"/>
  <c r="GH180" i="3"/>
  <c r="O238" i="3"/>
  <c r="GH175" i="3"/>
  <c r="O247" i="3"/>
  <c r="GH184" i="3"/>
  <c r="O226" i="3"/>
  <c r="GH163" i="3"/>
  <c r="O241" i="3"/>
  <c r="GH178" i="3"/>
  <c r="O217" i="3"/>
  <c r="GH154" i="3"/>
  <c r="O232" i="3"/>
  <c r="GH169" i="3"/>
  <c r="O218" i="3"/>
  <c r="GH155" i="3"/>
  <c r="O225" i="3"/>
  <c r="GH162" i="3"/>
  <c r="O245" i="3"/>
  <c r="GH182" i="3"/>
  <c r="O214" i="3"/>
  <c r="GH151" i="3"/>
  <c r="O234" i="3"/>
  <c r="GH171" i="3"/>
  <c r="O246" i="3"/>
  <c r="GH183" i="3"/>
  <c r="O235" i="3"/>
  <c r="GH172" i="3"/>
  <c r="O233" i="3"/>
  <c r="GH170" i="3"/>
  <c r="O215" i="3"/>
  <c r="GH152" i="3"/>
  <c r="O231" i="3"/>
  <c r="GH168" i="3"/>
  <c r="O248" i="3"/>
  <c r="GH185" i="3"/>
  <c r="O229" i="3"/>
  <c r="GH166" i="3"/>
  <c r="O223" i="3"/>
  <c r="GH160" i="3"/>
  <c r="O244" i="3"/>
  <c r="GH181" i="3"/>
  <c r="O221" i="3"/>
  <c r="GH158" i="3"/>
  <c r="O237" i="3"/>
  <c r="GH174" i="3"/>
  <c r="O239" i="3"/>
  <c r="GH176" i="3"/>
  <c r="O128" i="3"/>
  <c r="GH65" i="3"/>
  <c r="O72" i="3"/>
  <c r="GH9" i="3"/>
  <c r="O122" i="3"/>
  <c r="GH59" i="3"/>
  <c r="O84" i="3"/>
  <c r="GH21" i="3"/>
  <c r="O73" i="3"/>
  <c r="GH10" i="3"/>
  <c r="O134" i="3"/>
  <c r="GH71" i="3"/>
  <c r="O78" i="3"/>
  <c r="GH15" i="3"/>
  <c r="O202" i="3"/>
  <c r="GH139" i="3"/>
  <c r="O111" i="3"/>
  <c r="GH48" i="3"/>
  <c r="O170" i="3"/>
  <c r="GH107" i="3"/>
  <c r="O150" i="3"/>
  <c r="GH87" i="3"/>
  <c r="O189" i="3"/>
  <c r="GH126" i="3"/>
  <c r="O92" i="3"/>
  <c r="GH29" i="3"/>
  <c r="O140" i="3"/>
  <c r="GH77" i="3"/>
  <c r="O132" i="3"/>
  <c r="GH69" i="3"/>
  <c r="O172" i="3"/>
  <c r="GH109" i="3"/>
  <c r="O133" i="3"/>
  <c r="GH70" i="3"/>
  <c r="O88" i="3"/>
  <c r="GH25" i="3"/>
  <c r="O101" i="3"/>
  <c r="GH38" i="3"/>
  <c r="O70" i="3"/>
  <c r="GH7" i="3"/>
  <c r="O178" i="3"/>
  <c r="GH115" i="3"/>
  <c r="O121" i="3"/>
  <c r="GH58" i="3"/>
  <c r="O106" i="3"/>
  <c r="GH43" i="3"/>
  <c r="O118" i="3"/>
  <c r="GH55" i="3"/>
  <c r="O141" i="3"/>
  <c r="GH78" i="3"/>
  <c r="O116" i="3"/>
  <c r="GH53" i="3"/>
  <c r="O124" i="3"/>
  <c r="GH61" i="3"/>
  <c r="O115" i="3"/>
  <c r="GH52" i="3"/>
  <c r="O100" i="3"/>
  <c r="GH37" i="3"/>
  <c r="O104" i="3"/>
  <c r="GH41" i="3"/>
  <c r="O108" i="3"/>
  <c r="GH45" i="3"/>
  <c r="O112" i="3"/>
  <c r="GH49" i="3"/>
  <c r="O168" i="3"/>
  <c r="GH105" i="3"/>
  <c r="O75" i="3"/>
  <c r="GH12" i="3"/>
  <c r="O197" i="3"/>
  <c r="GH134" i="3"/>
  <c r="O71" i="3"/>
  <c r="GH8" i="3"/>
  <c r="O210" i="3"/>
  <c r="GH147" i="3"/>
  <c r="O145" i="3"/>
  <c r="GH82" i="3"/>
  <c r="O201" i="3"/>
  <c r="GH138" i="3"/>
  <c r="O155" i="3"/>
  <c r="GH92" i="3"/>
  <c r="O83" i="3"/>
  <c r="GH20" i="3"/>
  <c r="O177" i="3"/>
  <c r="GH114" i="3"/>
  <c r="O191" i="3"/>
  <c r="GH128" i="3"/>
  <c r="O114" i="3"/>
  <c r="GH51" i="3"/>
  <c r="O206" i="3"/>
  <c r="GH143" i="3"/>
  <c r="O183" i="3"/>
  <c r="GH120" i="3"/>
  <c r="O181" i="3"/>
  <c r="GH118" i="3"/>
  <c r="O195" i="3"/>
  <c r="GH132" i="3"/>
  <c r="O148" i="3"/>
  <c r="GH85" i="3"/>
  <c r="O162" i="3"/>
  <c r="GH99" i="3"/>
  <c r="O77" i="3"/>
  <c r="GH14" i="3"/>
  <c r="O169" i="3"/>
  <c r="GH106" i="3"/>
  <c r="O96" i="3"/>
  <c r="GH33" i="3"/>
  <c r="O165" i="3"/>
  <c r="GH102" i="3"/>
  <c r="O94" i="3"/>
  <c r="GH31" i="3"/>
  <c r="O80" i="3"/>
  <c r="GH17" i="3"/>
  <c r="O89" i="3"/>
  <c r="GH26" i="3"/>
  <c r="O95" i="3"/>
  <c r="GH32" i="3"/>
  <c r="O154" i="3"/>
  <c r="GH91" i="3"/>
  <c r="O194" i="3"/>
  <c r="GH131" i="3"/>
  <c r="O153" i="3"/>
  <c r="GH90" i="3"/>
  <c r="O129" i="3"/>
  <c r="GH66" i="3"/>
  <c r="O187" i="3"/>
  <c r="GH124" i="3"/>
  <c r="O107" i="3"/>
  <c r="GH44" i="3"/>
  <c r="O203" i="3"/>
  <c r="GH140" i="3"/>
  <c r="O125" i="3"/>
  <c r="GH62" i="3"/>
  <c r="O166" i="3"/>
  <c r="GH103" i="3"/>
  <c r="O199" i="3"/>
  <c r="GH136" i="3"/>
  <c r="O211" i="3"/>
  <c r="GH148" i="3"/>
  <c r="O157" i="3"/>
  <c r="GH94" i="3"/>
  <c r="O180" i="3"/>
  <c r="GH117" i="3"/>
  <c r="O205" i="3"/>
  <c r="GH142" i="3"/>
  <c r="O126" i="3"/>
  <c r="GH63" i="3"/>
  <c r="O151" i="3"/>
  <c r="GH88" i="3"/>
  <c r="O79" i="3"/>
  <c r="GH16" i="3"/>
  <c r="O74" i="3"/>
  <c r="GH11" i="3"/>
  <c r="O209" i="3"/>
  <c r="GH146" i="3"/>
  <c r="O143" i="3"/>
  <c r="GH80" i="3"/>
  <c r="O123" i="3"/>
  <c r="GH60" i="3"/>
  <c r="O76" i="3"/>
  <c r="GH13" i="3"/>
  <c r="O139" i="3"/>
  <c r="GH76" i="3"/>
  <c r="O186" i="3"/>
  <c r="GH123" i="3"/>
  <c r="O82" i="3"/>
  <c r="GH19" i="3"/>
  <c r="O156" i="3"/>
  <c r="GH93" i="3"/>
  <c r="O144" i="3"/>
  <c r="GH81" i="3"/>
  <c r="O119" i="3"/>
  <c r="GH56" i="3"/>
  <c r="O147" i="3"/>
  <c r="GH84" i="3"/>
  <c r="O93" i="3"/>
  <c r="GH30" i="3"/>
  <c r="O160" i="3"/>
  <c r="GH97" i="3"/>
  <c r="O208" i="3"/>
  <c r="GH145" i="3"/>
  <c r="O184" i="3"/>
  <c r="GH121" i="3"/>
  <c r="O90" i="3"/>
  <c r="GH27" i="3"/>
  <c r="O207" i="3"/>
  <c r="GH144" i="3"/>
  <c r="O99" i="3"/>
  <c r="GH36" i="3"/>
  <c r="O146" i="3"/>
  <c r="GH83" i="3"/>
  <c r="O163" i="3"/>
  <c r="GH100" i="3"/>
  <c r="O117" i="3"/>
  <c r="GH54" i="3"/>
  <c r="O196" i="3"/>
  <c r="GH133" i="3"/>
  <c r="O200" i="3"/>
  <c r="GH137" i="3"/>
  <c r="O171" i="3"/>
  <c r="GH108" i="3"/>
  <c r="O135" i="3"/>
  <c r="GH72" i="3"/>
  <c r="O174" i="3"/>
  <c r="GH111" i="3"/>
  <c r="O159" i="3"/>
  <c r="GH96" i="3"/>
  <c r="O102" i="3"/>
  <c r="GH39" i="3"/>
  <c r="O81" i="3"/>
  <c r="GH18" i="3"/>
  <c r="O137" i="3"/>
  <c r="GH74" i="3"/>
  <c r="O138" i="3"/>
  <c r="GH75" i="3"/>
  <c r="O113" i="3"/>
  <c r="GH50" i="3"/>
  <c r="O127" i="3"/>
  <c r="GH64" i="3"/>
  <c r="O142" i="3"/>
  <c r="GH79" i="3"/>
  <c r="O103" i="3"/>
  <c r="GH40" i="3"/>
  <c r="O85" i="3"/>
  <c r="GH22" i="3"/>
  <c r="O131" i="3"/>
  <c r="GH68" i="3"/>
  <c r="O97" i="3"/>
  <c r="GH34" i="3"/>
  <c r="O175" i="3"/>
  <c r="GH112" i="3"/>
  <c r="O98" i="3"/>
  <c r="GH35" i="3"/>
  <c r="O190" i="3"/>
  <c r="GH127" i="3"/>
  <c r="O105" i="3"/>
  <c r="GH42" i="3"/>
  <c r="O87" i="3"/>
  <c r="GH24" i="3"/>
  <c r="O69" i="3"/>
  <c r="GH6" i="3"/>
  <c r="O193" i="3"/>
  <c r="GH130" i="3"/>
  <c r="O91" i="3"/>
  <c r="GH28" i="3"/>
  <c r="O110" i="3"/>
  <c r="GH47" i="3"/>
  <c r="O120" i="3"/>
  <c r="GH57" i="3"/>
  <c r="O86" i="3"/>
  <c r="GH23" i="3"/>
  <c r="O109" i="3"/>
  <c r="GH46" i="3"/>
  <c r="GU25" i="3"/>
  <c r="DS168" i="3" l="1"/>
  <c r="DS136" i="3"/>
  <c r="DS158" i="3"/>
  <c r="DS114" i="3"/>
  <c r="O176" i="3" s="1"/>
  <c r="O222" i="3"/>
  <c r="O228" i="3"/>
  <c r="GH129" i="3"/>
  <c r="O173" i="3"/>
  <c r="GH110" i="3"/>
  <c r="O152" i="3"/>
  <c r="GH89" i="3"/>
  <c r="O149" i="3"/>
  <c r="GH86" i="3"/>
  <c r="O185" i="3"/>
  <c r="GH122" i="3"/>
  <c r="O182" i="3"/>
  <c r="GH119" i="3"/>
  <c r="O161" i="3"/>
  <c r="GH98" i="3"/>
  <c r="O136" i="3"/>
  <c r="GH73" i="3"/>
  <c r="O158" i="3"/>
  <c r="GH95" i="3"/>
  <c r="O167" i="3"/>
  <c r="GH104" i="3"/>
  <c r="O192" i="3"/>
  <c r="O179" i="3"/>
  <c r="GH116" i="3"/>
  <c r="O130" i="3"/>
  <c r="GH67" i="3"/>
  <c r="GH125" i="3"/>
  <c r="GU26" i="3"/>
  <c r="O198" i="3" l="1"/>
  <c r="GH135" i="3"/>
  <c r="GH159" i="3"/>
  <c r="O220" i="3"/>
  <c r="GH157" i="3"/>
  <c r="GH113" i="3"/>
  <c r="O164" i="3"/>
  <c r="GH101" i="3"/>
  <c r="GH165" i="3"/>
  <c r="O216" i="3"/>
  <c r="GH153" i="3"/>
  <c r="O240" i="3"/>
  <c r="GH177" i="3"/>
  <c r="O224" i="3"/>
  <c r="GH161" i="3"/>
  <c r="O236" i="3"/>
  <c r="GH173" i="3"/>
  <c r="O230" i="3"/>
  <c r="GH167" i="3"/>
  <c r="O204" i="3"/>
  <c r="GH141" i="3"/>
  <c r="O212" i="3"/>
  <c r="GH149" i="3"/>
  <c r="O188" i="3"/>
  <c r="EW104" i="3"/>
  <c r="EZ104" i="3" s="1"/>
  <c r="EW105" i="3"/>
  <c r="EZ105" i="3" s="1"/>
  <c r="EW114" i="3"/>
  <c r="EZ114" i="3" s="1"/>
  <c r="EW107" i="3"/>
  <c r="EZ107" i="3" s="1"/>
  <c r="EW108" i="3"/>
  <c r="EZ108" i="3" s="1"/>
  <c r="EW111" i="3"/>
  <c r="EZ111" i="3" s="1"/>
  <c r="EW19" i="3"/>
  <c r="EZ19" i="3" s="1"/>
  <c r="EW83" i="3"/>
  <c r="EZ83" i="3" s="1"/>
  <c r="EW17" i="3"/>
  <c r="EZ17" i="3" s="1"/>
  <c r="EW82" i="3"/>
  <c r="EZ82" i="3" s="1"/>
  <c r="EW80" i="3"/>
  <c r="EZ80" i="3" s="1"/>
  <c r="EW79" i="3"/>
  <c r="EZ79" i="3" s="1"/>
  <c r="EW95" i="3"/>
  <c r="EZ95" i="3" s="1"/>
  <c r="EW87" i="3"/>
  <c r="EZ87" i="3" s="1"/>
  <c r="EW8" i="3"/>
  <c r="EZ8" i="3" s="1"/>
  <c r="EW26" i="3"/>
  <c r="EZ26" i="3" s="1"/>
  <c r="EW81" i="3"/>
  <c r="EZ81" i="3" s="1"/>
  <c r="EW74" i="3"/>
  <c r="EZ74" i="3" s="1"/>
  <c r="EW64" i="3"/>
  <c r="EZ64" i="3" s="1"/>
  <c r="EW52" i="3"/>
  <c r="EZ52" i="3" s="1"/>
  <c r="EW31" i="3"/>
  <c r="EZ31" i="3" s="1"/>
  <c r="EW72" i="3"/>
  <c r="EZ72" i="3" s="1"/>
  <c r="EW16" i="3"/>
  <c r="EZ16" i="3" s="1"/>
  <c r="EW13" i="3"/>
  <c r="EZ13" i="3" s="1"/>
  <c r="EW56" i="3"/>
  <c r="EZ56" i="3" s="1"/>
  <c r="EW34" i="3"/>
  <c r="EZ34" i="3" s="1"/>
  <c r="EW15" i="3"/>
  <c r="EZ15" i="3" s="1"/>
  <c r="EW58" i="3"/>
  <c r="EZ58" i="3" s="1"/>
  <c r="EW93" i="3"/>
  <c r="EZ93" i="3" s="1"/>
  <c r="EW30" i="3"/>
  <c r="EZ30" i="3" s="1"/>
  <c r="EW76" i="3"/>
  <c r="EZ76" i="3" s="1"/>
  <c r="EW32" i="3"/>
  <c r="EZ32" i="3" s="1"/>
  <c r="EW7" i="3"/>
  <c r="EZ7" i="3" s="1"/>
  <c r="EW47" i="3"/>
  <c r="EZ47" i="3" s="1"/>
  <c r="EW40" i="3"/>
  <c r="EZ40" i="3" s="1"/>
  <c r="EW50" i="3"/>
  <c r="EZ50" i="3" s="1"/>
  <c r="EW99" i="3"/>
  <c r="EZ99" i="3" s="1"/>
  <c r="EW96" i="3"/>
  <c r="EZ96" i="3" s="1"/>
  <c r="EW77" i="3"/>
  <c r="EZ77" i="3" s="1"/>
  <c r="EW25" i="3"/>
  <c r="EZ25" i="3" s="1"/>
  <c r="EW38" i="3"/>
  <c r="EZ38" i="3" s="1"/>
  <c r="EW101" i="3"/>
  <c r="EZ101" i="3" s="1"/>
  <c r="EW20" i="3"/>
  <c r="EZ20" i="3" s="1"/>
  <c r="EW88" i="3"/>
  <c r="EZ88" i="3" s="1"/>
  <c r="EW89" i="3"/>
  <c r="EZ89" i="3" s="1"/>
  <c r="EW100" i="3"/>
  <c r="EZ100" i="3" s="1"/>
  <c r="EW92" i="3"/>
  <c r="EZ92" i="3" s="1"/>
  <c r="EW28" i="3"/>
  <c r="EZ28" i="3" s="1"/>
  <c r="EW49" i="3"/>
  <c r="EZ49" i="3" s="1"/>
  <c r="EW70" i="3"/>
  <c r="EZ70" i="3" s="1"/>
  <c r="EW12" i="3"/>
  <c r="EZ12" i="3" s="1"/>
  <c r="EW37" i="3"/>
  <c r="EZ37" i="3" s="1"/>
  <c r="EW69" i="3"/>
  <c r="EZ69" i="3" s="1"/>
  <c r="EW44" i="3"/>
  <c r="EZ44" i="3" s="1"/>
  <c r="EW45" i="3"/>
  <c r="EZ45" i="3" s="1"/>
  <c r="EW48" i="3"/>
  <c r="EZ48" i="3" s="1"/>
  <c r="EW106" i="3"/>
  <c r="EZ106" i="3" s="1"/>
  <c r="EW59" i="3"/>
  <c r="EZ59" i="3" s="1"/>
  <c r="EW57" i="3"/>
  <c r="EZ57" i="3" s="1"/>
  <c r="EW35" i="3"/>
  <c r="EZ35" i="3" s="1"/>
  <c r="EW33" i="3"/>
  <c r="EZ33" i="3" s="1"/>
  <c r="EW42" i="3"/>
  <c r="EZ42" i="3" s="1"/>
  <c r="EW91" i="3"/>
  <c r="EZ91" i="3" s="1"/>
  <c r="EW113" i="3"/>
  <c r="EZ113" i="3" s="1"/>
  <c r="EW27" i="3"/>
  <c r="EZ27" i="3" s="1"/>
  <c r="EW23" i="3"/>
  <c r="EZ23" i="3" s="1"/>
  <c r="EW90" i="3"/>
  <c r="EZ90" i="3" s="1"/>
  <c r="EW18" i="3"/>
  <c r="EZ18" i="3" s="1"/>
  <c r="EW51" i="3"/>
  <c r="EZ51" i="3" s="1"/>
  <c r="EW103" i="3"/>
  <c r="EZ103" i="3" s="1"/>
  <c r="EW110" i="3"/>
  <c r="EZ110" i="3" s="1"/>
  <c r="EW94" i="3"/>
  <c r="EZ94" i="3" s="1"/>
  <c r="EW41" i="3"/>
  <c r="EZ41" i="3" s="1"/>
  <c r="EW39" i="3"/>
  <c r="EZ39" i="3" s="1"/>
  <c r="EW73" i="3"/>
  <c r="EZ73" i="3" s="1"/>
  <c r="EW9" i="3"/>
  <c r="EZ9" i="3" s="1"/>
  <c r="EW68" i="3"/>
  <c r="EZ68" i="3" s="1"/>
  <c r="EW67" i="3"/>
  <c r="EZ67" i="3" s="1"/>
  <c r="EW97" i="3"/>
  <c r="EZ97" i="3" s="1"/>
  <c r="EW102" i="3"/>
  <c r="EZ102" i="3" s="1"/>
  <c r="EW60" i="3"/>
  <c r="EZ60" i="3" s="1"/>
  <c r="EW11" i="3"/>
  <c r="EZ11" i="3" s="1"/>
  <c r="EW71" i="3"/>
  <c r="EZ71" i="3" s="1"/>
  <c r="EW117" i="3"/>
  <c r="EZ117" i="3" s="1"/>
  <c r="EW78" i="3"/>
  <c r="EZ78" i="3" s="1"/>
  <c r="EW62" i="3"/>
  <c r="EZ62" i="3" s="1"/>
  <c r="EW24" i="3"/>
  <c r="EZ24" i="3" s="1"/>
  <c r="EW109" i="3"/>
  <c r="EZ109" i="3" s="1"/>
  <c r="EW29" i="3"/>
  <c r="EZ29" i="3" s="1"/>
  <c r="EW43" i="3"/>
  <c r="EZ43" i="3" s="1"/>
  <c r="EW98" i="3"/>
  <c r="EZ98" i="3" s="1"/>
  <c r="EW116" i="3"/>
  <c r="EZ116" i="3" s="1"/>
  <c r="EW6" i="3"/>
  <c r="EZ6" i="3" s="1"/>
  <c r="EW22" i="3"/>
  <c r="EZ22" i="3" s="1"/>
  <c r="EW66" i="3"/>
  <c r="EZ66" i="3" s="1"/>
  <c r="EW55" i="3"/>
  <c r="EZ55" i="3" s="1"/>
  <c r="EW112" i="3"/>
  <c r="EZ112" i="3" s="1"/>
  <c r="EW75" i="3"/>
  <c r="EZ75" i="3" s="1"/>
  <c r="EW61" i="3"/>
  <c r="EZ61" i="3" s="1"/>
  <c r="EW54" i="3"/>
  <c r="EZ54" i="3" s="1"/>
  <c r="EW53" i="3"/>
  <c r="EZ53" i="3" s="1"/>
  <c r="EW36" i="3"/>
  <c r="EZ36" i="3" s="1"/>
  <c r="EW63" i="3"/>
  <c r="EZ63" i="3" s="1"/>
  <c r="EW85" i="3"/>
  <c r="EZ85" i="3" s="1"/>
  <c r="EW84" i="3"/>
  <c r="EZ84" i="3" s="1"/>
  <c r="EW21" i="3"/>
  <c r="EZ21" i="3" s="1"/>
  <c r="EW46" i="3"/>
  <c r="EZ46" i="3" s="1"/>
  <c r="EW14" i="3"/>
  <c r="EZ14" i="3" s="1"/>
  <c r="EW115" i="3"/>
  <c r="EZ115" i="3" s="1"/>
  <c r="EW10" i="3"/>
  <c r="EZ10" i="3" s="1"/>
  <c r="EW65" i="3"/>
  <c r="EZ65" i="3" s="1"/>
  <c r="EW86" i="3"/>
  <c r="EZ86" i="3" s="1"/>
  <c r="EU85" i="3" l="1"/>
  <c r="EU109" i="3"/>
  <c r="EU94" i="3"/>
  <c r="EU35" i="3"/>
  <c r="GI34" i="3"/>
  <c r="EU28" i="3"/>
  <c r="GI27" i="3"/>
  <c r="EU25" i="3"/>
  <c r="GI24" i="3"/>
  <c r="EU52" i="3"/>
  <c r="GI51" i="3"/>
  <c r="EU107" i="3"/>
  <c r="EU66" i="3"/>
  <c r="GI65" i="3"/>
  <c r="EU98" i="3"/>
  <c r="EU24" i="3"/>
  <c r="GI23" i="3"/>
  <c r="EU71" i="3"/>
  <c r="GI70" i="3"/>
  <c r="EU97" i="3"/>
  <c r="EU73" i="3"/>
  <c r="GI72" i="3"/>
  <c r="EU110" i="3"/>
  <c r="EU90" i="3"/>
  <c r="EU91" i="3"/>
  <c r="EU57" i="3"/>
  <c r="GI56" i="3"/>
  <c r="EU45" i="3"/>
  <c r="GI44" i="3"/>
  <c r="EU12" i="3"/>
  <c r="GI11" i="3"/>
  <c r="EU92" i="3"/>
  <c r="EU20" i="3"/>
  <c r="GI19" i="3"/>
  <c r="EU77" i="3"/>
  <c r="GI76" i="3"/>
  <c r="EU40" i="3"/>
  <c r="GI39" i="3"/>
  <c r="EU76" i="3"/>
  <c r="GI75" i="3"/>
  <c r="EU15" i="3"/>
  <c r="GI14" i="3"/>
  <c r="EU16" i="3"/>
  <c r="GI15" i="3"/>
  <c r="EU64" i="3"/>
  <c r="GI63" i="3"/>
  <c r="EU8" i="3"/>
  <c r="GI7" i="3"/>
  <c r="EU80" i="3"/>
  <c r="EU19" i="3"/>
  <c r="GI18" i="3"/>
  <c r="EU114" i="3"/>
  <c r="EU14" i="3"/>
  <c r="GI13" i="3"/>
  <c r="EU55" i="3"/>
  <c r="GI54" i="3"/>
  <c r="EU102" i="3"/>
  <c r="EU9" i="3"/>
  <c r="GI8" i="3"/>
  <c r="EU18" i="3"/>
  <c r="GI17" i="3"/>
  <c r="EU88" i="3"/>
  <c r="EU32" i="3"/>
  <c r="GI31" i="3"/>
  <c r="EU79" i="3"/>
  <c r="EU65" i="3"/>
  <c r="GI64" i="3"/>
  <c r="EU61" i="3"/>
  <c r="GI60" i="3"/>
  <c r="EU36" i="3"/>
  <c r="GI35" i="3"/>
  <c r="EU43" i="3"/>
  <c r="GI42" i="3"/>
  <c r="EU67" i="3"/>
  <c r="GI66" i="3"/>
  <c r="EU103" i="3"/>
  <c r="EU23" i="3"/>
  <c r="GI22" i="3"/>
  <c r="EU42" i="3"/>
  <c r="GI41" i="3"/>
  <c r="EU59" i="3"/>
  <c r="GI58" i="3"/>
  <c r="EU44" i="3"/>
  <c r="GI43" i="3"/>
  <c r="EU70" i="3"/>
  <c r="GI69" i="3"/>
  <c r="EU100" i="3"/>
  <c r="EU101" i="3"/>
  <c r="EU96" i="3"/>
  <c r="EU47" i="3"/>
  <c r="GI46" i="3"/>
  <c r="EU30" i="3"/>
  <c r="GI29" i="3"/>
  <c r="EU34" i="3"/>
  <c r="GI33" i="3"/>
  <c r="EU72" i="3"/>
  <c r="GI71" i="3"/>
  <c r="EU74" i="3"/>
  <c r="GI73" i="3"/>
  <c r="EU87" i="3"/>
  <c r="EU82" i="3"/>
  <c r="EU111" i="3"/>
  <c r="EU105" i="3"/>
  <c r="EU86" i="3"/>
  <c r="EU54" i="3"/>
  <c r="GI53" i="3"/>
  <c r="EU116" i="3"/>
  <c r="EU117" i="3"/>
  <c r="EU113" i="3"/>
  <c r="EU48" i="3"/>
  <c r="GI47" i="3"/>
  <c r="EU37" i="3"/>
  <c r="GI36" i="3"/>
  <c r="EU50" i="3"/>
  <c r="GI49" i="3"/>
  <c r="EU58" i="3"/>
  <c r="GI57" i="3"/>
  <c r="EU13" i="3"/>
  <c r="GI12" i="3"/>
  <c r="EU26" i="3"/>
  <c r="GI25" i="3"/>
  <c r="EU83" i="3"/>
  <c r="EU46" i="3"/>
  <c r="GI45" i="3"/>
  <c r="EU63" i="3"/>
  <c r="GI62" i="3"/>
  <c r="EU10" i="3"/>
  <c r="GI9" i="3"/>
  <c r="EU21" i="3"/>
  <c r="GI20" i="3"/>
  <c r="EU75" i="3"/>
  <c r="GI74" i="3"/>
  <c r="EU22" i="3"/>
  <c r="GI21" i="3"/>
  <c r="EU62" i="3"/>
  <c r="GI61" i="3"/>
  <c r="EU11" i="3"/>
  <c r="GI10" i="3"/>
  <c r="EU39" i="3"/>
  <c r="GI38" i="3"/>
  <c r="EU115" i="3"/>
  <c r="EU84" i="3"/>
  <c r="EU53" i="3"/>
  <c r="GI52" i="3"/>
  <c r="EU112" i="3"/>
  <c r="EU6" i="3"/>
  <c r="GI5" i="3"/>
  <c r="EU29" i="3"/>
  <c r="GI28" i="3"/>
  <c r="EU78" i="3"/>
  <c r="GI77" i="3"/>
  <c r="GI78" i="3" s="1"/>
  <c r="GI79" i="3" s="1"/>
  <c r="GI80" i="3" s="1"/>
  <c r="GI81" i="3" s="1"/>
  <c r="GI82" i="3" s="1"/>
  <c r="GI83" i="3" s="1"/>
  <c r="GI84" i="3" s="1"/>
  <c r="GI85" i="3" s="1"/>
  <c r="GI86" i="3" s="1"/>
  <c r="GI87" i="3" s="1"/>
  <c r="GI88" i="3" s="1"/>
  <c r="GI89" i="3" s="1"/>
  <c r="GI90" i="3" s="1"/>
  <c r="GI91" i="3" s="1"/>
  <c r="GI92" i="3" s="1"/>
  <c r="GI93" i="3" s="1"/>
  <c r="GI94" i="3" s="1"/>
  <c r="GI95" i="3" s="1"/>
  <c r="GI96" i="3" s="1"/>
  <c r="GI97" i="3" s="1"/>
  <c r="GI98" i="3" s="1"/>
  <c r="GI99" i="3" s="1"/>
  <c r="GI100" i="3" s="1"/>
  <c r="GI101" i="3" s="1"/>
  <c r="GI102" i="3" s="1"/>
  <c r="GI103" i="3" s="1"/>
  <c r="GI104" i="3" s="1"/>
  <c r="GI105" i="3" s="1"/>
  <c r="GI106" i="3" s="1"/>
  <c r="GI107" i="3" s="1"/>
  <c r="GI108" i="3" s="1"/>
  <c r="GI109" i="3" s="1"/>
  <c r="GI110" i="3" s="1"/>
  <c r="GI111" i="3" s="1"/>
  <c r="GI112" i="3" s="1"/>
  <c r="GI113" i="3" s="1"/>
  <c r="GI114" i="3" s="1"/>
  <c r="GI115" i="3" s="1"/>
  <c r="GI116" i="3" s="1"/>
  <c r="EU60" i="3"/>
  <c r="GI59" i="3"/>
  <c r="EU68" i="3"/>
  <c r="GI67" i="3"/>
  <c r="EU41" i="3"/>
  <c r="GI40" i="3"/>
  <c r="EU51" i="3"/>
  <c r="GI50" i="3"/>
  <c r="EU27" i="3"/>
  <c r="GI26" i="3"/>
  <c r="EU33" i="3"/>
  <c r="GI32" i="3"/>
  <c r="EU106" i="3"/>
  <c r="EU69" i="3"/>
  <c r="GI68" i="3"/>
  <c r="EU49" i="3"/>
  <c r="GI48" i="3"/>
  <c r="EU89" i="3"/>
  <c r="EU38" i="3"/>
  <c r="GI37" i="3"/>
  <c r="EU99" i="3"/>
  <c r="EU7" i="3"/>
  <c r="GI6" i="3"/>
  <c r="EU93" i="3"/>
  <c r="EU56" i="3"/>
  <c r="GI55" i="3"/>
  <c r="EU31" i="3"/>
  <c r="GI30" i="3"/>
  <c r="EU81" i="3"/>
  <c r="EU95" i="3"/>
  <c r="EU17" i="3"/>
  <c r="GI16" i="3"/>
  <c r="EU108" i="3"/>
  <c r="EU104" i="3"/>
  <c r="EW147" i="3"/>
  <c r="EZ147" i="3" s="1"/>
  <c r="EW179" i="3"/>
  <c r="EZ179" i="3" s="1"/>
  <c r="EW146" i="3"/>
  <c r="EZ146" i="3" s="1"/>
  <c r="EW142" i="3"/>
  <c r="EZ142" i="3" s="1"/>
  <c r="EW128" i="3"/>
  <c r="EZ128" i="3" s="1"/>
  <c r="EW165" i="3"/>
  <c r="EZ165" i="3" s="1"/>
  <c r="EW135" i="3"/>
  <c r="EZ135" i="3" s="1"/>
  <c r="EW136" i="3"/>
  <c r="EZ136" i="3" s="1"/>
  <c r="EW167" i="3"/>
  <c r="EZ167" i="3" s="1"/>
  <c r="EW129" i="3"/>
  <c r="EZ129" i="3" s="1"/>
  <c r="EW159" i="3"/>
  <c r="EZ159" i="3" s="1"/>
  <c r="EW118" i="3"/>
  <c r="EZ118" i="3" s="1"/>
  <c r="EW139" i="3"/>
  <c r="EZ139" i="3" s="1"/>
  <c r="EW164" i="3"/>
  <c r="EZ164" i="3" s="1"/>
  <c r="EW160" i="3"/>
  <c r="EZ160" i="3" s="1"/>
  <c r="EW169" i="3"/>
  <c r="EZ169" i="3" s="1"/>
  <c r="EW137" i="3"/>
  <c r="EZ137" i="3" s="1"/>
  <c r="EW173" i="3"/>
  <c r="EZ173" i="3" s="1"/>
  <c r="EW185" i="3"/>
  <c r="EZ185" i="3" s="1"/>
  <c r="EW141" i="3"/>
  <c r="EZ141" i="3" s="1"/>
  <c r="EW138" i="3"/>
  <c r="EZ138" i="3" s="1"/>
  <c r="EW123" i="3"/>
  <c r="EZ123" i="3" s="1"/>
  <c r="EW133" i="3"/>
  <c r="EZ133" i="3" s="1"/>
  <c r="EW149" i="3"/>
  <c r="EZ149" i="3" s="1"/>
  <c r="EW150" i="3"/>
  <c r="EZ150" i="3" s="1"/>
  <c r="EW156" i="3"/>
  <c r="EZ156" i="3" s="1"/>
  <c r="EW184" i="3"/>
  <c r="EZ184" i="3" s="1"/>
  <c r="EW172" i="3"/>
  <c r="EZ172" i="3" s="1"/>
  <c r="EW148" i="3"/>
  <c r="EZ148" i="3" s="1"/>
  <c r="EW130" i="3"/>
  <c r="EZ130" i="3" s="1"/>
  <c r="EW155" i="3"/>
  <c r="EZ155" i="3" s="1"/>
  <c r="EW126" i="3"/>
  <c r="EZ126" i="3" s="1"/>
  <c r="EW121" i="3"/>
  <c r="EZ121" i="3" s="1"/>
  <c r="EW127" i="3"/>
  <c r="EZ127" i="3" s="1"/>
  <c r="EW145" i="3"/>
  <c r="EZ145" i="3" s="1"/>
  <c r="EW182" i="3"/>
  <c r="EZ182" i="3" s="1"/>
  <c r="EW178" i="3"/>
  <c r="EZ178" i="3" s="1"/>
  <c r="EW168" i="3"/>
  <c r="EZ168" i="3" s="1"/>
  <c r="EW181" i="3"/>
  <c r="EZ181" i="3" s="1"/>
  <c r="EW134" i="3"/>
  <c r="EZ134" i="3" s="1"/>
  <c r="EW154" i="3"/>
  <c r="EZ154" i="3" s="1"/>
  <c r="EW132" i="3"/>
  <c r="EZ132" i="3" s="1"/>
  <c r="EW140" i="3"/>
  <c r="EZ140" i="3" s="1"/>
  <c r="EW161" i="3"/>
  <c r="EZ161" i="3" s="1"/>
  <c r="EW122" i="3"/>
  <c r="EZ122" i="3" s="1"/>
  <c r="EW162" i="3"/>
  <c r="EZ162" i="3" s="1"/>
  <c r="EW166" i="3"/>
  <c r="EZ166" i="3" s="1"/>
  <c r="EW144" i="3"/>
  <c r="EZ144" i="3" s="1"/>
  <c r="EW131" i="3"/>
  <c r="EZ131" i="3" s="1"/>
  <c r="EW125" i="3"/>
  <c r="EZ125" i="3" s="1"/>
  <c r="EW124" i="3"/>
  <c r="EZ124" i="3" s="1"/>
  <c r="EW119" i="3"/>
  <c r="EZ119" i="3" s="1"/>
  <c r="EW120" i="3"/>
  <c r="EZ120" i="3" s="1"/>
  <c r="EW143" i="3"/>
  <c r="EZ143" i="3" s="1"/>
  <c r="EW176" i="3"/>
  <c r="EZ176" i="3" s="1"/>
  <c r="EW171" i="3"/>
  <c r="EZ171" i="3" s="1"/>
  <c r="EW174" i="3"/>
  <c r="EZ174" i="3" s="1"/>
  <c r="EW186" i="3"/>
  <c r="EZ186" i="3" s="1"/>
  <c r="EW157" i="3"/>
  <c r="EZ157" i="3" s="1"/>
  <c r="GU27" i="3"/>
  <c r="O325" i="3"/>
  <c r="EU171" i="3" l="1"/>
  <c r="EU144" i="3"/>
  <c r="EU161" i="3"/>
  <c r="EU134" i="3"/>
  <c r="EU172" i="3"/>
  <c r="EU149" i="3"/>
  <c r="EU141" i="3"/>
  <c r="EU169" i="3"/>
  <c r="ET169" i="3" s="1"/>
  <c r="EU118" i="3"/>
  <c r="GI117" i="3"/>
  <c r="GI118" i="3" s="1"/>
  <c r="GI119" i="3" s="1"/>
  <c r="GI120" i="3" s="1"/>
  <c r="GI121" i="3" s="1"/>
  <c r="GI122" i="3" s="1"/>
  <c r="GI123" i="3" s="1"/>
  <c r="GI124" i="3" s="1"/>
  <c r="GI125" i="3" s="1"/>
  <c r="EU136" i="3"/>
  <c r="EU142" i="3"/>
  <c r="EU124" i="3"/>
  <c r="EU140" i="3"/>
  <c r="EU145" i="3"/>
  <c r="EU155" i="3"/>
  <c r="EU184" i="3"/>
  <c r="EU133" i="3"/>
  <c r="EU185" i="3"/>
  <c r="ET185" i="3" s="1"/>
  <c r="EU160" i="3"/>
  <c r="EU159" i="3"/>
  <c r="EU135" i="3"/>
  <c r="EU146" i="3"/>
  <c r="EU119" i="3"/>
  <c r="EU126" i="3"/>
  <c r="EU186" i="3"/>
  <c r="EU143" i="3"/>
  <c r="EU125" i="3"/>
  <c r="EU132" i="3"/>
  <c r="EU168" i="3"/>
  <c r="EU127" i="3"/>
  <c r="EU130" i="3"/>
  <c r="EU123" i="3"/>
  <c r="EU164" i="3"/>
  <c r="EU129" i="3"/>
  <c r="EU179" i="3"/>
  <c r="EU120" i="3"/>
  <c r="EU131" i="3"/>
  <c r="EU122" i="3"/>
  <c r="EU154" i="3"/>
  <c r="EU178" i="3"/>
  <c r="EU121" i="3"/>
  <c r="EU148" i="3"/>
  <c r="EU150" i="3"/>
  <c r="EU138" i="3"/>
  <c r="EU137" i="3"/>
  <c r="EU139" i="3"/>
  <c r="EU167" i="3"/>
  <c r="EU128" i="3"/>
  <c r="EU147" i="3"/>
  <c r="O324" i="3"/>
  <c r="GI126" i="3" l="1"/>
  <c r="GI127" i="3" s="1"/>
  <c r="GI128" i="3" s="1"/>
  <c r="GI129" i="3" s="1"/>
  <c r="GI130" i="3" s="1"/>
  <c r="GI131" i="3" s="1"/>
  <c r="GI132" i="3" s="1"/>
  <c r="GI133" i="3" s="1"/>
  <c r="GI134" i="3" s="1"/>
  <c r="GI135" i="3" s="1"/>
  <c r="GI136" i="3" s="1"/>
  <c r="GI137" i="3" s="1"/>
  <c r="GI138" i="3" s="1"/>
  <c r="GI139" i="3" s="1"/>
  <c r="GI140" i="3" s="1"/>
  <c r="GI141" i="3" s="1"/>
  <c r="GI142" i="3" s="1"/>
  <c r="GI143" i="3" s="1"/>
  <c r="GI144" i="3" s="1"/>
  <c r="GI145" i="3" s="1"/>
  <c r="GI146" i="3" s="1"/>
  <c r="GI147" i="3" s="1"/>
  <c r="GI148" i="3" s="1"/>
  <c r="GI149" i="3" s="1"/>
  <c r="GU28" i="3"/>
  <c r="EW152" i="3"/>
  <c r="EZ152" i="3" s="1"/>
  <c r="EW170" i="3"/>
  <c r="EZ170" i="3" s="1"/>
  <c r="EW158" i="3"/>
  <c r="EZ158" i="3" s="1"/>
  <c r="EW151" i="3"/>
  <c r="EZ151" i="3" s="1"/>
  <c r="DT24" i="3" l="1"/>
  <c r="Q86" i="3" s="1"/>
  <c r="DT55" i="3"/>
  <c r="GJ54" i="3" s="1"/>
  <c r="DT170" i="3"/>
  <c r="GJ169" i="3" s="1"/>
  <c r="DT51" i="3"/>
  <c r="Q113" i="3" s="1"/>
  <c r="DT14" i="3"/>
  <c r="Q76" i="3" s="1"/>
  <c r="DT161" i="3"/>
  <c r="Q223" i="3" s="1"/>
  <c r="DT12" i="3"/>
  <c r="GJ11" i="3" s="1"/>
  <c r="DT17" i="3"/>
  <c r="DT146" i="3"/>
  <c r="GJ145" i="3" s="1"/>
  <c r="DT123" i="3"/>
  <c r="Q185" i="3" s="1"/>
  <c r="DT129" i="3"/>
  <c r="DT46" i="3"/>
  <c r="Q108" i="3" s="1"/>
  <c r="DT145" i="3"/>
  <c r="Q207" i="3" s="1"/>
  <c r="DT20" i="3"/>
  <c r="DT8" i="3"/>
  <c r="DT59" i="3"/>
  <c r="Q121" i="3" s="1"/>
  <c r="DT22" i="3"/>
  <c r="Q84" i="3" s="1"/>
  <c r="DT154" i="3"/>
  <c r="GJ153" i="3" s="1"/>
  <c r="DT19" i="3"/>
  <c r="GJ18" i="3" s="1"/>
  <c r="DT44" i="3"/>
  <c r="GJ43" i="3" s="1"/>
  <c r="DT107" i="3"/>
  <c r="GJ106" i="3" s="1"/>
  <c r="DT105" i="3"/>
  <c r="GJ104" i="3" s="1"/>
  <c r="DT11" i="3"/>
  <c r="GJ10" i="3" s="1"/>
  <c r="DT185" i="3"/>
  <c r="Q247" i="3" s="1"/>
  <c r="DT6" i="3"/>
  <c r="DT96" i="3"/>
  <c r="GJ95" i="3" s="1"/>
  <c r="DT186" i="3"/>
  <c r="DT172" i="3"/>
  <c r="Q234" i="3" s="1"/>
  <c r="DT164" i="3"/>
  <c r="Q226" i="3" s="1"/>
  <c r="DT126" i="3"/>
  <c r="GJ125" i="3" s="1"/>
  <c r="DT47" i="3"/>
  <c r="GJ46" i="3" s="1"/>
  <c r="DT88" i="3"/>
  <c r="Q150" i="3" s="1"/>
  <c r="DT62" i="3"/>
  <c r="Q124" i="3" s="1"/>
  <c r="DT98" i="3"/>
  <c r="GJ97" i="3" s="1"/>
  <c r="DT121" i="3"/>
  <c r="GJ120" i="3" s="1"/>
  <c r="DT127" i="3"/>
  <c r="GJ126" i="3" s="1"/>
  <c r="DT122" i="3"/>
  <c r="Q184" i="3" s="1"/>
  <c r="DT68" i="3"/>
  <c r="GJ67" i="3" s="1"/>
  <c r="DT142" i="3"/>
  <c r="GJ141" i="3" s="1"/>
  <c r="DT13" i="3"/>
  <c r="Q75" i="3" s="1"/>
  <c r="DT167" i="3"/>
  <c r="Q229" i="3" s="1"/>
  <c r="DT175" i="3"/>
  <c r="Q237" i="3" s="1"/>
  <c r="DT117" i="3"/>
  <c r="GJ116" i="3" s="1"/>
  <c r="DT75" i="3"/>
  <c r="Q137" i="3" s="1"/>
  <c r="DT139" i="3"/>
  <c r="GJ138" i="3" s="1"/>
  <c r="DT82" i="3"/>
  <c r="Q144" i="3" s="1"/>
  <c r="DT80" i="3"/>
  <c r="GJ79" i="3" s="1"/>
  <c r="DT153" i="3"/>
  <c r="GJ152" i="3" s="1"/>
  <c r="DT162" i="3"/>
  <c r="Q224" i="3" s="1"/>
  <c r="DT178" i="3"/>
  <c r="GJ177" i="3" s="1"/>
  <c r="DT66" i="3"/>
  <c r="GJ65" i="3" s="1"/>
  <c r="DT135" i="3"/>
  <c r="GJ134" i="3" s="1"/>
  <c r="DT33" i="3"/>
  <c r="GJ32" i="3" s="1"/>
  <c r="DT89" i="3"/>
  <c r="GJ88" i="3" s="1"/>
  <c r="DT79" i="3"/>
  <c r="GJ78" i="3" s="1"/>
  <c r="DT140" i="3"/>
  <c r="GJ139" i="3" s="1"/>
  <c r="DT85" i="3"/>
  <c r="Q147" i="3" s="1"/>
  <c r="DT10" i="3"/>
  <c r="GJ9" i="3" s="1"/>
  <c r="DT71" i="3"/>
  <c r="GJ70" i="3" s="1"/>
  <c r="DT23" i="3"/>
  <c r="Q85" i="3" s="1"/>
  <c r="DT69" i="3"/>
  <c r="GJ68" i="3" s="1"/>
  <c r="DT181" i="3"/>
  <c r="GJ180" i="3" s="1"/>
  <c r="DT31" i="3"/>
  <c r="GJ30" i="3" s="1"/>
  <c r="DT180" i="3"/>
  <c r="Q242" i="3" s="1"/>
  <c r="DT110" i="3"/>
  <c r="GJ109" i="3" s="1"/>
  <c r="DT119" i="3"/>
  <c r="Q181" i="3" s="1"/>
  <c r="DT86" i="3"/>
  <c r="DT137" i="3"/>
  <c r="Q199" i="3" s="1"/>
  <c r="DT41" i="3"/>
  <c r="Q103" i="3" s="1"/>
  <c r="DT35" i="3"/>
  <c r="GJ34" i="3" s="1"/>
  <c r="DT53" i="3"/>
  <c r="Q115" i="3" s="1"/>
  <c r="DT151" i="3"/>
  <c r="Q213" i="3" s="1"/>
  <c r="DT120" i="3"/>
  <c r="GJ119" i="3" s="1"/>
  <c r="DT118" i="3"/>
  <c r="GJ117" i="3" s="1"/>
  <c r="DT94" i="3"/>
  <c r="GJ93" i="3" s="1"/>
  <c r="DT65" i="3"/>
  <c r="Q127" i="3" s="1"/>
  <c r="DT39" i="3"/>
  <c r="GJ38" i="3" s="1"/>
  <c r="DT150" i="3"/>
  <c r="Q212" i="3" s="1"/>
  <c r="DT113" i="3"/>
  <c r="GJ112" i="3" s="1"/>
  <c r="DT45" i="3"/>
  <c r="Q107" i="3" s="1"/>
  <c r="DT103" i="3"/>
  <c r="Q165" i="3" s="1"/>
  <c r="DT74" i="3"/>
  <c r="Q136" i="3" s="1"/>
  <c r="DT60" i="3"/>
  <c r="DT177" i="3"/>
  <c r="Q239" i="3" s="1"/>
  <c r="DT67" i="3"/>
  <c r="Q129" i="3" s="1"/>
  <c r="DT173" i="3"/>
  <c r="GJ172" i="3" s="1"/>
  <c r="DT34" i="3"/>
  <c r="GJ33" i="3" s="1"/>
  <c r="DT157" i="3"/>
  <c r="GJ156" i="3" s="1"/>
  <c r="DT28" i="3"/>
  <c r="GJ27" i="3" s="1"/>
  <c r="DT64" i="3"/>
  <c r="Q126" i="3" s="1"/>
  <c r="DT147" i="3"/>
  <c r="GJ146" i="3" s="1"/>
  <c r="DT114" i="3"/>
  <c r="Q176" i="3" s="1"/>
  <c r="DT7" i="3"/>
  <c r="GJ6" i="3" s="1"/>
  <c r="DT163" i="3"/>
  <c r="Q225" i="3" s="1"/>
  <c r="DT158" i="3"/>
  <c r="GJ157" i="3" s="1"/>
  <c r="DT90" i="3"/>
  <c r="Q152" i="3" s="1"/>
  <c r="DT58" i="3"/>
  <c r="GJ57" i="3" s="1"/>
  <c r="DT61" i="3"/>
  <c r="Q123" i="3" s="1"/>
  <c r="DT133" i="3"/>
  <c r="GJ132" i="3" s="1"/>
  <c r="DT138" i="3"/>
  <c r="GJ137" i="3" s="1"/>
  <c r="DT83" i="3"/>
  <c r="GJ82" i="3" s="1"/>
  <c r="DT106" i="3"/>
  <c r="Q168" i="3" s="1"/>
  <c r="DT52" i="3"/>
  <c r="GJ51" i="3" s="1"/>
  <c r="DT54" i="3"/>
  <c r="Q116" i="3" s="1"/>
  <c r="DT43" i="3"/>
  <c r="Q105" i="3" s="1"/>
  <c r="DT57" i="3"/>
  <c r="GJ56" i="3" s="1"/>
  <c r="DT78" i="3"/>
  <c r="GJ77" i="3" s="1"/>
  <c r="DT108" i="3"/>
  <c r="Q170" i="3" s="1"/>
  <c r="DT84" i="3"/>
  <c r="Q146" i="3" s="1"/>
  <c r="DT16" i="3"/>
  <c r="Q78" i="3" s="1"/>
  <c r="DT148" i="3"/>
  <c r="GJ147" i="3" s="1"/>
  <c r="DT81" i="3"/>
  <c r="Q143" i="3" s="1"/>
  <c r="DT48" i="3"/>
  <c r="GJ47" i="3" s="1"/>
  <c r="DT128" i="3"/>
  <c r="Q190" i="3" s="1"/>
  <c r="DT9" i="3"/>
  <c r="GJ8" i="3" s="1"/>
  <c r="DT25" i="3"/>
  <c r="Q87" i="3" s="1"/>
  <c r="DT76" i="3"/>
  <c r="Q138" i="3" s="1"/>
  <c r="DT63" i="3"/>
  <c r="GJ62" i="3" s="1"/>
  <c r="DT179" i="3"/>
  <c r="GJ178" i="3" s="1"/>
  <c r="DT29" i="3"/>
  <c r="Q91" i="3" s="1"/>
  <c r="DT91" i="3"/>
  <c r="Q153" i="3" s="1"/>
  <c r="DT73" i="3"/>
  <c r="Q135" i="3" s="1"/>
  <c r="DT168" i="3"/>
  <c r="GJ167" i="3" s="1"/>
  <c r="DT72" i="3"/>
  <c r="GJ71" i="3" s="1"/>
  <c r="DT93" i="3"/>
  <c r="GJ92" i="3" s="1"/>
  <c r="DT155" i="3"/>
  <c r="Q217" i="3" s="1"/>
  <c r="DT111" i="3"/>
  <c r="GJ110" i="3" s="1"/>
  <c r="DT49" i="3"/>
  <c r="GJ48" i="3" s="1"/>
  <c r="DT32" i="3"/>
  <c r="GJ31" i="3" s="1"/>
  <c r="DT125" i="3"/>
  <c r="GJ124" i="3" s="1"/>
  <c r="DT152" i="3"/>
  <c r="GJ151" i="3" s="1"/>
  <c r="DT95" i="3"/>
  <c r="GJ94" i="3" s="1"/>
  <c r="DT42" i="3"/>
  <c r="GJ41" i="3" s="1"/>
  <c r="DT136" i="3"/>
  <c r="GJ135" i="3" s="1"/>
  <c r="DT184" i="3"/>
  <c r="GJ183" i="3" s="1"/>
  <c r="DT156" i="3"/>
  <c r="Q218" i="3" s="1"/>
  <c r="DT40" i="3"/>
  <c r="Q102" i="3" s="1"/>
  <c r="DT99" i="3"/>
  <c r="GJ98" i="3" s="1"/>
  <c r="DT169" i="3"/>
  <c r="GJ168" i="3" s="1"/>
  <c r="DT116" i="3"/>
  <c r="Q178" i="3" s="1"/>
  <c r="DT130" i="3"/>
  <c r="Q192" i="3" s="1"/>
  <c r="DT92" i="3"/>
  <c r="GJ91" i="3" s="1"/>
  <c r="DT112" i="3"/>
  <c r="Q174" i="3" s="1"/>
  <c r="DT37" i="3"/>
  <c r="GJ36" i="3" s="1"/>
  <c r="DT30" i="3"/>
  <c r="Q92" i="3" s="1"/>
  <c r="DT165" i="3"/>
  <c r="GJ164" i="3" s="1"/>
  <c r="DT160" i="3"/>
  <c r="GJ159" i="3" s="1"/>
  <c r="DT124" i="3"/>
  <c r="Q186" i="3" s="1"/>
  <c r="DT21" i="3"/>
  <c r="Q83" i="3" s="1"/>
  <c r="DT182" i="3"/>
  <c r="Q244" i="3" s="1"/>
  <c r="DT115" i="3"/>
  <c r="GJ114" i="3" s="1"/>
  <c r="DT144" i="3"/>
  <c r="Q206" i="3" s="1"/>
  <c r="DT183" i="3"/>
  <c r="GJ182" i="3" s="1"/>
  <c r="DT77" i="3"/>
  <c r="Q139" i="3" s="1"/>
  <c r="DT100" i="3"/>
  <c r="DT174" i="3"/>
  <c r="Q236" i="3" s="1"/>
  <c r="DT18" i="3"/>
  <c r="Q80" i="3" s="1"/>
  <c r="DT131" i="3"/>
  <c r="GJ130" i="3" s="1"/>
  <c r="DT132" i="3"/>
  <c r="GJ131" i="3" s="1"/>
  <c r="DT15" i="3"/>
  <c r="Q77" i="3" s="1"/>
  <c r="DT27" i="3"/>
  <c r="Q89" i="3" s="1"/>
  <c r="DT104" i="3"/>
  <c r="GJ103" i="3" s="1"/>
  <c r="DT36" i="3"/>
  <c r="GJ35" i="3" s="1"/>
  <c r="DT109" i="3"/>
  <c r="Q171" i="3" s="1"/>
  <c r="DT97" i="3"/>
  <c r="Q159" i="3" s="1"/>
  <c r="DT143" i="3"/>
  <c r="GJ142" i="3" s="1"/>
  <c r="DT149" i="3"/>
  <c r="GJ148" i="3" s="1"/>
  <c r="DT176" i="3"/>
  <c r="Q238" i="3" s="1"/>
  <c r="DT56" i="3"/>
  <c r="Q118" i="3" s="1"/>
  <c r="DT159" i="3"/>
  <c r="GJ158" i="3" s="1"/>
  <c r="DT141" i="3"/>
  <c r="GJ140" i="3" s="1"/>
  <c r="DT101" i="3"/>
  <c r="Q163" i="3" s="1"/>
  <c r="DT87" i="3"/>
  <c r="Q149" i="3" s="1"/>
  <c r="DT26" i="3"/>
  <c r="GJ25" i="3" s="1"/>
  <c r="DT171" i="3"/>
  <c r="GJ170" i="3" s="1"/>
  <c r="DT50" i="3"/>
  <c r="Q112" i="3" s="1"/>
  <c r="Q101" i="3"/>
  <c r="Q228" i="3"/>
  <c r="GJ165" i="3"/>
  <c r="Q100" i="3"/>
  <c r="GJ37" i="3"/>
  <c r="Q196" i="3"/>
  <c r="GJ133" i="3"/>
  <c r="Q132" i="3"/>
  <c r="GJ69" i="3"/>
  <c r="Q164" i="3"/>
  <c r="GJ101" i="3"/>
  <c r="GI150" i="3"/>
  <c r="GI151" i="3" s="1"/>
  <c r="EU158" i="3"/>
  <c r="EU170" i="3"/>
  <c r="EU152" i="3"/>
  <c r="GU29" i="3"/>
  <c r="EU151" i="3"/>
  <c r="Q95" i="3" l="1"/>
  <c r="Q201" i="3"/>
  <c r="GJ13" i="3"/>
  <c r="GJ42" i="3"/>
  <c r="EX7" i="3"/>
  <c r="EY7" i="3" s="1"/>
  <c r="GK6" i="3" s="1"/>
  <c r="Q120" i="3"/>
  <c r="GJ84" i="3"/>
  <c r="GJ161" i="3"/>
  <c r="GJ163" i="3"/>
  <c r="Q169" i="3"/>
  <c r="GJ61" i="3"/>
  <c r="GJ83" i="3"/>
  <c r="GJ102" i="3"/>
  <c r="GJ23" i="3"/>
  <c r="GJ66" i="3"/>
  <c r="GJ21" i="3"/>
  <c r="Q208" i="3"/>
  <c r="Q131" i="3"/>
  <c r="GJ90" i="3"/>
  <c r="Q90" i="3"/>
  <c r="Q145" i="3"/>
  <c r="Q155" i="3"/>
  <c r="Q182" i="3"/>
  <c r="Q172" i="3"/>
  <c r="Q245" i="3"/>
  <c r="GJ5" i="3"/>
  <c r="GJ40" i="3"/>
  <c r="Q94" i="3"/>
  <c r="EX6" i="3"/>
  <c r="EY6" i="3" s="1"/>
  <c r="GK5" i="3" s="1"/>
  <c r="GJ166" i="3"/>
  <c r="GJ121" i="3"/>
  <c r="GJ20" i="3"/>
  <c r="GJ144" i="3"/>
  <c r="Q69" i="3"/>
  <c r="Q110" i="3"/>
  <c r="GJ129" i="3"/>
  <c r="GJ29" i="3"/>
  <c r="GJ39" i="3"/>
  <c r="Q104" i="3"/>
  <c r="GJ86" i="3"/>
  <c r="Q73" i="3"/>
  <c r="Q230" i="3"/>
  <c r="GJ26" i="3"/>
  <c r="GJ75" i="3"/>
  <c r="GJ96" i="3"/>
  <c r="GJ55" i="3"/>
  <c r="GJ174" i="3"/>
  <c r="GJ17" i="3"/>
  <c r="EX166" i="3"/>
  <c r="EY166" i="3" s="1"/>
  <c r="EX134" i="3"/>
  <c r="EY134" i="3" s="1"/>
  <c r="EX38" i="3"/>
  <c r="EY38" i="3" s="1"/>
  <c r="GK37" i="3" s="1"/>
  <c r="EX102" i="3"/>
  <c r="EY102" i="3" s="1"/>
  <c r="EX70" i="3"/>
  <c r="EY70" i="3" s="1"/>
  <c r="GK69" i="3" s="1"/>
  <c r="GJ63" i="3"/>
  <c r="Q158" i="3"/>
  <c r="EX50" i="3"/>
  <c r="EY50" i="3" s="1"/>
  <c r="GK49" i="3" s="1"/>
  <c r="Q221" i="3"/>
  <c r="GJ160" i="3"/>
  <c r="Q130" i="3"/>
  <c r="GJ123" i="3"/>
  <c r="GJ50" i="3"/>
  <c r="Q222" i="3"/>
  <c r="Q177" i="3"/>
  <c r="EX120" i="3"/>
  <c r="EY120" i="3" s="1"/>
  <c r="EX98" i="3"/>
  <c r="EY98" i="3" s="1"/>
  <c r="EX114" i="3"/>
  <c r="EY114" i="3" s="1"/>
  <c r="Q202" i="3"/>
  <c r="EX94" i="3"/>
  <c r="EY94" i="3" s="1"/>
  <c r="Q173" i="3"/>
  <c r="EX51" i="3"/>
  <c r="EY51" i="3" s="1"/>
  <c r="GK50" i="3" s="1"/>
  <c r="GJ53" i="3"/>
  <c r="Q200" i="3"/>
  <c r="GJ58" i="3"/>
  <c r="Q189" i="3"/>
  <c r="GJ12" i="3"/>
  <c r="Q111" i="3"/>
  <c r="Q220" i="3"/>
  <c r="Q109" i="3"/>
  <c r="Q210" i="3"/>
  <c r="GJ155" i="3"/>
  <c r="GJ173" i="3"/>
  <c r="GJ44" i="3"/>
  <c r="GJ136" i="3"/>
  <c r="GJ28" i="3"/>
  <c r="EX53" i="3"/>
  <c r="EY53" i="3" s="1"/>
  <c r="EX153" i="3"/>
  <c r="EY153" i="3" s="1"/>
  <c r="EX81" i="3"/>
  <c r="EY81" i="3" s="1"/>
  <c r="EX116" i="3"/>
  <c r="EY116" i="3" s="1"/>
  <c r="EX25" i="3"/>
  <c r="EY25" i="3" s="1"/>
  <c r="GK24" i="3" s="1"/>
  <c r="Q233" i="3"/>
  <c r="Q93" i="3"/>
  <c r="GJ179" i="3"/>
  <c r="Q142" i="3"/>
  <c r="Q74" i="3"/>
  <c r="EX88" i="3"/>
  <c r="EY88" i="3" s="1"/>
  <c r="EX47" i="3"/>
  <c r="EY47" i="3" s="1"/>
  <c r="GK46" i="3" s="1"/>
  <c r="GJ87" i="3"/>
  <c r="GJ143" i="3"/>
  <c r="GJ113" i="3"/>
  <c r="Q141" i="3"/>
  <c r="Q241" i="3"/>
  <c r="Q203" i="3"/>
  <c r="Q114" i="3"/>
  <c r="Q204" i="3"/>
  <c r="GJ24" i="3"/>
  <c r="Q99" i="3"/>
  <c r="Q195" i="3"/>
  <c r="EX17" i="3"/>
  <c r="EY17" i="3" s="1"/>
  <c r="GK16" i="3" s="1"/>
  <c r="EX118" i="3"/>
  <c r="EY118" i="3" s="1"/>
  <c r="EX83" i="3"/>
  <c r="EY83" i="3" s="1"/>
  <c r="EX11" i="3"/>
  <c r="EY11" i="3" s="1"/>
  <c r="EX79" i="3"/>
  <c r="EY79" i="3" s="1"/>
  <c r="EX162" i="3"/>
  <c r="EY162" i="3" s="1"/>
  <c r="GJ45" i="3"/>
  <c r="GJ175" i="3"/>
  <c r="GJ108" i="3"/>
  <c r="Q227" i="3"/>
  <c r="GJ149" i="3"/>
  <c r="Q167" i="3"/>
  <c r="GJ80" i="3"/>
  <c r="Q240" i="3"/>
  <c r="GJ181" i="3"/>
  <c r="GJ89" i="3"/>
  <c r="Q180" i="3"/>
  <c r="GJ74" i="3"/>
  <c r="GJ64" i="3"/>
  <c r="GJ184" i="3"/>
  <c r="GJ14" i="3"/>
  <c r="GJ150" i="3"/>
  <c r="GJ115" i="3"/>
  <c r="Q215" i="3"/>
  <c r="GJ127" i="3"/>
  <c r="GJ81" i="3"/>
  <c r="Q97" i="3"/>
  <c r="GJ100" i="3"/>
  <c r="GJ49" i="3"/>
  <c r="Q157" i="3"/>
  <c r="EX39" i="3"/>
  <c r="EY39" i="3" s="1"/>
  <c r="GK38" i="3" s="1"/>
  <c r="EX84" i="3"/>
  <c r="EY84" i="3" s="1"/>
  <c r="EX119" i="3"/>
  <c r="EY119" i="3" s="1"/>
  <c r="EX131" i="3"/>
  <c r="EY131" i="3" s="1"/>
  <c r="Q188" i="3"/>
  <c r="GJ162" i="3"/>
  <c r="GJ107" i="3"/>
  <c r="GJ171" i="3"/>
  <c r="Q219" i="3"/>
  <c r="Q119" i="3"/>
  <c r="Q197" i="3"/>
  <c r="GJ22" i="3"/>
  <c r="GJ105" i="3"/>
  <c r="Q134" i="3"/>
  <c r="Q198" i="3"/>
  <c r="Q106" i="3"/>
  <c r="Q79" i="3"/>
  <c r="GJ176" i="3"/>
  <c r="EX109" i="3"/>
  <c r="EY109" i="3" s="1"/>
  <c r="EX111" i="3"/>
  <c r="EY111" i="3" s="1"/>
  <c r="EX71" i="3"/>
  <c r="EY71" i="3" s="1"/>
  <c r="GK70" i="3" s="1"/>
  <c r="EX150" i="3"/>
  <c r="EY150" i="3" s="1"/>
  <c r="EX85" i="3"/>
  <c r="EY85" i="3" s="1"/>
  <c r="EX16" i="3"/>
  <c r="EY16" i="3" s="1"/>
  <c r="GK15" i="3" s="1"/>
  <c r="EX135" i="3"/>
  <c r="EY135" i="3" s="1"/>
  <c r="EX58" i="3"/>
  <c r="EY58" i="3" s="1"/>
  <c r="GK57" i="3" s="1"/>
  <c r="EX136" i="3"/>
  <c r="EY136" i="3" s="1"/>
  <c r="EX66" i="3"/>
  <c r="EY66" i="3" s="1"/>
  <c r="GK65" i="3" s="1"/>
  <c r="Q151" i="3"/>
  <c r="Q154" i="3"/>
  <c r="GJ60" i="3"/>
  <c r="GJ122" i="3"/>
  <c r="GJ154" i="3"/>
  <c r="GJ76" i="3"/>
  <c r="Q160" i="3"/>
  <c r="Q166" i="3"/>
  <c r="GJ118" i="3"/>
  <c r="GJ16" i="3"/>
  <c r="Q72" i="3"/>
  <c r="EX100" i="3"/>
  <c r="EY100" i="3" s="1"/>
  <c r="EX60" i="3"/>
  <c r="EY60" i="3" s="1"/>
  <c r="GK59" i="3" s="1"/>
  <c r="EX86" i="3"/>
  <c r="EY86" i="3" s="1"/>
  <c r="EX44" i="3"/>
  <c r="EY44" i="3" s="1"/>
  <c r="GK43" i="3" s="1"/>
  <c r="EX129" i="3"/>
  <c r="EY129" i="3" s="1"/>
  <c r="EX143" i="3"/>
  <c r="EY143" i="3" s="1"/>
  <c r="EX99" i="3"/>
  <c r="EY99" i="3" s="1"/>
  <c r="EX63" i="3"/>
  <c r="EY63" i="3" s="1"/>
  <c r="GK62" i="3" s="1"/>
  <c r="EX20" i="3"/>
  <c r="EY20" i="3" s="1"/>
  <c r="GK19" i="3" s="1"/>
  <c r="EX19" i="3"/>
  <c r="EY19" i="3" s="1"/>
  <c r="EX152" i="3"/>
  <c r="EY152" i="3" s="1"/>
  <c r="EX12" i="3"/>
  <c r="EY12" i="3" s="1"/>
  <c r="GK11" i="3" s="1"/>
  <c r="EX74" i="3"/>
  <c r="EY74" i="3" s="1"/>
  <c r="GK73" i="3" s="1"/>
  <c r="EX36" i="3"/>
  <c r="EY36" i="3" s="1"/>
  <c r="GK35" i="3" s="1"/>
  <c r="EX69" i="3"/>
  <c r="EY69" i="3" s="1"/>
  <c r="GK68" i="3" s="1"/>
  <c r="EX149" i="3"/>
  <c r="EY149" i="3" s="1"/>
  <c r="EX48" i="3"/>
  <c r="EY48" i="3" s="1"/>
  <c r="GK47" i="3" s="1"/>
  <c r="EX61" i="3"/>
  <c r="EY61" i="3" s="1"/>
  <c r="GK60" i="3" s="1"/>
  <c r="EX106" i="3"/>
  <c r="EY106" i="3" s="1"/>
  <c r="GJ72" i="3"/>
  <c r="GJ73" i="3"/>
  <c r="Q216" i="3"/>
  <c r="GJ15" i="3"/>
  <c r="Q117" i="3"/>
  <c r="Q187" i="3"/>
  <c r="Q88" i="3"/>
  <c r="GJ19" i="3"/>
  <c r="Q243" i="3"/>
  <c r="Q193" i="3"/>
  <c r="Q71" i="3"/>
  <c r="Q235" i="3"/>
  <c r="EX37" i="3"/>
  <c r="EY37" i="3" s="1"/>
  <c r="GK36" i="3" s="1"/>
  <c r="EX82" i="3"/>
  <c r="EY82" i="3" s="1"/>
  <c r="EX40" i="3"/>
  <c r="EY40" i="3" s="1"/>
  <c r="GK39" i="3" s="1"/>
  <c r="EX123" i="3"/>
  <c r="EY123" i="3" s="1"/>
  <c r="EX165" i="3"/>
  <c r="EY165" i="3" s="1"/>
  <c r="EX167" i="3"/>
  <c r="EY167" i="3" s="1"/>
  <c r="EX144" i="3"/>
  <c r="EY144" i="3" s="1"/>
  <c r="EX90" i="3"/>
  <c r="EY90" i="3" s="1"/>
  <c r="EX68" i="3"/>
  <c r="EY68" i="3" s="1"/>
  <c r="GK67" i="3" s="1"/>
  <c r="EX170" i="3"/>
  <c r="EY170" i="3" s="1"/>
  <c r="EX76" i="3"/>
  <c r="EY76" i="3" s="1"/>
  <c r="GK75" i="3" s="1"/>
  <c r="EX147" i="3"/>
  <c r="EY147" i="3" s="1"/>
  <c r="EX15" i="3"/>
  <c r="EY15" i="3" s="1"/>
  <c r="GK14" i="3" s="1"/>
  <c r="EX110" i="3"/>
  <c r="EY110" i="3" s="1"/>
  <c r="EX121" i="3"/>
  <c r="EY121" i="3" s="1"/>
  <c r="EX138" i="3"/>
  <c r="EY138" i="3" s="1"/>
  <c r="EX112" i="3"/>
  <c r="EY112" i="3" s="1"/>
  <c r="EX95" i="3"/>
  <c r="EY95" i="3" s="1"/>
  <c r="EX18" i="3"/>
  <c r="EY18" i="3" s="1"/>
  <c r="GK17" i="3" s="1"/>
  <c r="GJ111" i="3"/>
  <c r="GJ85" i="3"/>
  <c r="GJ52" i="3"/>
  <c r="GJ99" i="3"/>
  <c r="GJ59" i="3"/>
  <c r="GJ128" i="3"/>
  <c r="EX155" i="3"/>
  <c r="EY155" i="3" s="1"/>
  <c r="EX130" i="3"/>
  <c r="EY130" i="3" s="1"/>
  <c r="EX132" i="3"/>
  <c r="EY132" i="3" s="1"/>
  <c r="EX34" i="3"/>
  <c r="EY34" i="3" s="1"/>
  <c r="GK33" i="3" s="1"/>
  <c r="EX140" i="3"/>
  <c r="EY140" i="3" s="1"/>
  <c r="EX173" i="3"/>
  <c r="EY173" i="3" s="1"/>
  <c r="EX27" i="3"/>
  <c r="EY27" i="3" s="1"/>
  <c r="GK26" i="3" s="1"/>
  <c r="EX56" i="3"/>
  <c r="EY56" i="3" s="1"/>
  <c r="GK55" i="3" s="1"/>
  <c r="EX35" i="3"/>
  <c r="EY35" i="3" s="1"/>
  <c r="GK34" i="3" s="1"/>
  <c r="EX133" i="3"/>
  <c r="EY133" i="3" s="1"/>
  <c r="EX57" i="3"/>
  <c r="EY57" i="3" s="1"/>
  <c r="GK56" i="3" s="1"/>
  <c r="EX141" i="3"/>
  <c r="EY141" i="3" s="1"/>
  <c r="EX41" i="3"/>
  <c r="EY41" i="3" s="1"/>
  <c r="GK40" i="3" s="1"/>
  <c r="EX73" i="3"/>
  <c r="EY73" i="3" s="1"/>
  <c r="GK72" i="3" s="1"/>
  <c r="EX117" i="3"/>
  <c r="EY117" i="3" s="1"/>
  <c r="EX54" i="3"/>
  <c r="EY54" i="3" s="1"/>
  <c r="GK53" i="3" s="1"/>
  <c r="EX127" i="3"/>
  <c r="EY127" i="3" s="1"/>
  <c r="EX163" i="3"/>
  <c r="EY163" i="3" s="1"/>
  <c r="EX108" i="3"/>
  <c r="EY108" i="3" s="1"/>
  <c r="EX32" i="3"/>
  <c r="EY32" i="3" s="1"/>
  <c r="GK31" i="3" s="1"/>
  <c r="EX72" i="3"/>
  <c r="EY72" i="3" s="1"/>
  <c r="GK71" i="3" s="1"/>
  <c r="EX103" i="3"/>
  <c r="EY103" i="3" s="1"/>
  <c r="EX52" i="3"/>
  <c r="EY52" i="3" s="1"/>
  <c r="GK51" i="3" s="1"/>
  <c r="EX142" i="3"/>
  <c r="EY142" i="3" s="1"/>
  <c r="EX104" i="3"/>
  <c r="EY104" i="3" s="1"/>
  <c r="EX96" i="3"/>
  <c r="EY96" i="3" s="1"/>
  <c r="EX107" i="3"/>
  <c r="EY107" i="3" s="1"/>
  <c r="EX156" i="3"/>
  <c r="EY156" i="3" s="1"/>
  <c r="EX148" i="3"/>
  <c r="EY148" i="3" s="1"/>
  <c r="EX158" i="3"/>
  <c r="EY158" i="3" s="1"/>
  <c r="EX115" i="3"/>
  <c r="EY115" i="3" s="1"/>
  <c r="EX78" i="3"/>
  <c r="EY78" i="3" s="1"/>
  <c r="GK77" i="3" s="1"/>
  <c r="GK78" i="3" s="1"/>
  <c r="EX128" i="3"/>
  <c r="EY128" i="3" s="1"/>
  <c r="EX29" i="3"/>
  <c r="EY29" i="3" s="1"/>
  <c r="GK28" i="3" s="1"/>
  <c r="EX92" i="3"/>
  <c r="EY92" i="3" s="1"/>
  <c r="EX168" i="3"/>
  <c r="EY168" i="3" s="1"/>
  <c r="EX45" i="3"/>
  <c r="EY45" i="3" s="1"/>
  <c r="GK44" i="3" s="1"/>
  <c r="EX46" i="3"/>
  <c r="EY46" i="3" s="1"/>
  <c r="GK45" i="3" s="1"/>
  <c r="EX146" i="3"/>
  <c r="EY146" i="3" s="1"/>
  <c r="Q81" i="3"/>
  <c r="Q179" i="3"/>
  <c r="Q156" i="3"/>
  <c r="Q148" i="3"/>
  <c r="Q211" i="3"/>
  <c r="Q96" i="3"/>
  <c r="Q128" i="3"/>
  <c r="Q82" i="3"/>
  <c r="Q232" i="3"/>
  <c r="Q162" i="3"/>
  <c r="Q161" i="3"/>
  <c r="Q209" i="3"/>
  <c r="Q125" i="3"/>
  <c r="Q70" i="3"/>
  <c r="Q205" i="3"/>
  <c r="Q246" i="3"/>
  <c r="Q98" i="3"/>
  <c r="Q122" i="3"/>
  <c r="Q231" i="3"/>
  <c r="Q191" i="3"/>
  <c r="Q140" i="3"/>
  <c r="Q175" i="3"/>
  <c r="Q183" i="3"/>
  <c r="Q194" i="3"/>
  <c r="Q214" i="3"/>
  <c r="Q133" i="3"/>
  <c r="EX160" i="3"/>
  <c r="EY160" i="3" s="1"/>
  <c r="EX28" i="3"/>
  <c r="EY28" i="3" s="1"/>
  <c r="GK27" i="3" s="1"/>
  <c r="EX145" i="3"/>
  <c r="EY145" i="3" s="1"/>
  <c r="EX65" i="3"/>
  <c r="EY65" i="3" s="1"/>
  <c r="GK64" i="3" s="1"/>
  <c r="EX59" i="3"/>
  <c r="EY59" i="3" s="1"/>
  <c r="GK58" i="3" s="1"/>
  <c r="EX77" i="3"/>
  <c r="EY77" i="3" s="1"/>
  <c r="GK76" i="3" s="1"/>
  <c r="EX67" i="3"/>
  <c r="EY67" i="3" s="1"/>
  <c r="GK66" i="3" s="1"/>
  <c r="EX93" i="3"/>
  <c r="EY93" i="3" s="1"/>
  <c r="EX30" i="3"/>
  <c r="EY30" i="3" s="1"/>
  <c r="GK29" i="3" s="1"/>
  <c r="EX22" i="3"/>
  <c r="EY22" i="3" s="1"/>
  <c r="GK21" i="3" s="1"/>
  <c r="EX101" i="3"/>
  <c r="EY101" i="3" s="1"/>
  <c r="EX161" i="3"/>
  <c r="EY161" i="3" s="1"/>
  <c r="EX151" i="3"/>
  <c r="EY151" i="3" s="1"/>
  <c r="EX24" i="3"/>
  <c r="EY24" i="3" s="1"/>
  <c r="GK23" i="3" s="1"/>
  <c r="EX97" i="3"/>
  <c r="EY97" i="3" s="1"/>
  <c r="EX169" i="3"/>
  <c r="EY169" i="3" s="1"/>
  <c r="EX64" i="3"/>
  <c r="EY64" i="3" s="1"/>
  <c r="GK63" i="3" s="1"/>
  <c r="EX113" i="3"/>
  <c r="EY113" i="3" s="1"/>
  <c r="EX126" i="3"/>
  <c r="EY126" i="3" s="1"/>
  <c r="EX26" i="3"/>
  <c r="EY26" i="3" s="1"/>
  <c r="GK25" i="3" s="1"/>
  <c r="GJ7" i="3"/>
  <c r="EX14" i="3"/>
  <c r="EY14" i="3" s="1"/>
  <c r="GK13" i="3" s="1"/>
  <c r="EX124" i="3"/>
  <c r="EY124" i="3" s="1"/>
  <c r="EX21" i="3"/>
  <c r="EY21" i="3" s="1"/>
  <c r="GK20" i="3" s="1"/>
  <c r="EX10" i="3"/>
  <c r="EY10" i="3" s="1"/>
  <c r="GK9" i="3" s="1"/>
  <c r="EX87" i="3"/>
  <c r="EY87" i="3" s="1"/>
  <c r="EX75" i="3"/>
  <c r="EY75" i="3" s="1"/>
  <c r="GK74" i="3" s="1"/>
  <c r="EX33" i="3"/>
  <c r="EY33" i="3" s="1"/>
  <c r="GK32" i="3" s="1"/>
  <c r="EX137" i="3"/>
  <c r="EY137" i="3" s="1"/>
  <c r="EX80" i="3"/>
  <c r="EY80" i="3" s="1"/>
  <c r="EX49" i="3"/>
  <c r="EY49" i="3" s="1"/>
  <c r="GK48" i="3" s="1"/>
  <c r="EX174" i="3"/>
  <c r="EY174" i="3" s="1"/>
  <c r="EX171" i="3"/>
  <c r="EY171" i="3" s="1"/>
  <c r="EX43" i="3"/>
  <c r="EY43" i="3" s="1"/>
  <c r="GK42" i="3" s="1"/>
  <c r="EX31" i="3"/>
  <c r="EY31" i="3" s="1"/>
  <c r="GK30" i="3" s="1"/>
  <c r="EX105" i="3"/>
  <c r="EY105" i="3" s="1"/>
  <c r="EX154" i="3"/>
  <c r="EY154" i="3" s="1"/>
  <c r="EX89" i="3"/>
  <c r="EY89" i="3" s="1"/>
  <c r="EX122" i="3"/>
  <c r="EY122" i="3" s="1"/>
  <c r="EX159" i="3"/>
  <c r="EY159" i="3" s="1"/>
  <c r="EX91" i="3"/>
  <c r="EY91" i="3" s="1"/>
  <c r="EX139" i="3"/>
  <c r="EY139" i="3" s="1"/>
  <c r="EX23" i="3"/>
  <c r="EY23" i="3" s="1"/>
  <c r="GK22" i="3" s="1"/>
  <c r="EX164" i="3"/>
  <c r="EY164" i="3" s="1"/>
  <c r="EX13" i="3"/>
  <c r="EY13" i="3" s="1"/>
  <c r="GK12" i="3" s="1"/>
  <c r="EX8" i="3"/>
  <c r="EY8" i="3" s="1"/>
  <c r="GK7" i="3" s="1"/>
  <c r="EX157" i="3"/>
  <c r="EY157" i="3" s="1"/>
  <c r="EX62" i="3"/>
  <c r="EY62" i="3" s="1"/>
  <c r="GK61" i="3" s="1"/>
  <c r="EX55" i="3"/>
  <c r="EY55" i="3" s="1"/>
  <c r="GK54" i="3" s="1"/>
  <c r="EX172" i="3"/>
  <c r="EY172" i="3" s="1"/>
  <c r="EX125" i="3"/>
  <c r="EY125" i="3" s="1"/>
  <c r="EX42" i="3"/>
  <c r="EY42" i="3" s="1"/>
  <c r="GK41" i="3" s="1"/>
  <c r="EX9" i="3"/>
  <c r="EY9" i="3" s="1"/>
  <c r="GK8" i="3" s="1"/>
  <c r="Q248" i="3"/>
  <c r="GJ185" i="3"/>
  <c r="GK52" i="3"/>
  <c r="GK18" i="3"/>
  <c r="GK10" i="3"/>
  <c r="EW153" i="3"/>
  <c r="EZ153" i="3" s="1"/>
  <c r="GI152" i="3" s="1"/>
  <c r="GI153" i="3" s="1"/>
  <c r="GI154" i="3" s="1"/>
  <c r="GI155" i="3" s="1"/>
  <c r="GI156" i="3" s="1"/>
  <c r="GI157" i="3" s="1"/>
  <c r="GI158" i="3" s="1"/>
  <c r="GI159" i="3" s="1"/>
  <c r="GI160" i="3" s="1"/>
  <c r="GI161" i="3" s="1"/>
  <c r="EW163" i="3"/>
  <c r="EZ163" i="3" s="1"/>
  <c r="EV7" i="3" l="1"/>
  <c r="EV6" i="3"/>
  <c r="EV166" i="3"/>
  <c r="EU166" i="3" s="1"/>
  <c r="EV70" i="3"/>
  <c r="EV38" i="3"/>
  <c r="EV19" i="3"/>
  <c r="EV135" i="3"/>
  <c r="EV30" i="3"/>
  <c r="EV137" i="3"/>
  <c r="EV163" i="3"/>
  <c r="EV46" i="3"/>
  <c r="EV79" i="3"/>
  <c r="EV153" i="3"/>
  <c r="EV18" i="3"/>
  <c r="EV94" i="3"/>
  <c r="EV151" i="3"/>
  <c r="EV156" i="3"/>
  <c r="EU156" i="3" s="1"/>
  <c r="EV56" i="3"/>
  <c r="EV31" i="3"/>
  <c r="EV73" i="3"/>
  <c r="EV36" i="3"/>
  <c r="EV55" i="3"/>
  <c r="EV121" i="3"/>
  <c r="EV145" i="3"/>
  <c r="EV17" i="3"/>
  <c r="EV29" i="3"/>
  <c r="EV142" i="3"/>
  <c r="EV130" i="3"/>
  <c r="EV71" i="3"/>
  <c r="EV10" i="3"/>
  <c r="EV76" i="3"/>
  <c r="EV114" i="3"/>
  <c r="EV143" i="3"/>
  <c r="EV158" i="3"/>
  <c r="EV96" i="3"/>
  <c r="EV54" i="3"/>
  <c r="EV173" i="3"/>
  <c r="EU173" i="3" s="1"/>
  <c r="EV50" i="3"/>
  <c r="EV83" i="3"/>
  <c r="EV125" i="3"/>
  <c r="EV171" i="3"/>
  <c r="EV97" i="3"/>
  <c r="EV15" i="3"/>
  <c r="EV59" i="3"/>
  <c r="EV102" i="3"/>
  <c r="EV51" i="3"/>
  <c r="EV60" i="3"/>
  <c r="EV124" i="3"/>
  <c r="EV168" i="3"/>
  <c r="EV103" i="3"/>
  <c r="EV133" i="3"/>
  <c r="EV61" i="3"/>
  <c r="EV119" i="3"/>
  <c r="EV39" i="3"/>
  <c r="EV154" i="3"/>
  <c r="EV126" i="3"/>
  <c r="EV134" i="3"/>
  <c r="EV144" i="3"/>
  <c r="EV40" i="3"/>
  <c r="EV120" i="3"/>
  <c r="EV109" i="3"/>
  <c r="EV63" i="3"/>
  <c r="EV136" i="3"/>
  <c r="EV116" i="3"/>
  <c r="EV157" i="3"/>
  <c r="EU157" i="3" s="1"/>
  <c r="EV68" i="3"/>
  <c r="EV67" i="3"/>
  <c r="EV85" i="3"/>
  <c r="EV23" i="3"/>
  <c r="EV78" i="3"/>
  <c r="EV32" i="3"/>
  <c r="EV141" i="3"/>
  <c r="EV34" i="3"/>
  <c r="EV47" i="3"/>
  <c r="EV12" i="3"/>
  <c r="EV44" i="3"/>
  <c r="EV122" i="3"/>
  <c r="EV75" i="3"/>
  <c r="EV112" i="3"/>
  <c r="EV101" i="3"/>
  <c r="EV165" i="3"/>
  <c r="EU165" i="3" s="1"/>
  <c r="EV37" i="3"/>
  <c r="EV149" i="3"/>
  <c r="EV49" i="3"/>
  <c r="EV9" i="3"/>
  <c r="EV91" i="3"/>
  <c r="GK79" i="3"/>
  <c r="GK80" i="3" s="1"/>
  <c r="GK81" i="3" s="1"/>
  <c r="GK82" i="3" s="1"/>
  <c r="GK83" i="3" s="1"/>
  <c r="GK84" i="3" s="1"/>
  <c r="GK85" i="3" s="1"/>
  <c r="GK86" i="3" s="1"/>
  <c r="GK87" i="3" s="1"/>
  <c r="GK88" i="3" s="1"/>
  <c r="GK89" i="3" s="1"/>
  <c r="GK90" i="3" s="1"/>
  <c r="GK91" i="3" s="1"/>
  <c r="GK92" i="3" s="1"/>
  <c r="GK93" i="3" s="1"/>
  <c r="GK94" i="3" s="1"/>
  <c r="GK95" i="3" s="1"/>
  <c r="GK96" i="3" s="1"/>
  <c r="GK97" i="3" s="1"/>
  <c r="GK98" i="3" s="1"/>
  <c r="GK99" i="3" s="1"/>
  <c r="GK100" i="3" s="1"/>
  <c r="GK101" i="3" s="1"/>
  <c r="GK102" i="3" s="1"/>
  <c r="GK103" i="3" s="1"/>
  <c r="GK104" i="3" s="1"/>
  <c r="GK105" i="3" s="1"/>
  <c r="GK106" i="3" s="1"/>
  <c r="GK107" i="3" s="1"/>
  <c r="GK108" i="3" s="1"/>
  <c r="GK109" i="3" s="1"/>
  <c r="GK110" i="3" s="1"/>
  <c r="GK111" i="3" s="1"/>
  <c r="GK112" i="3" s="1"/>
  <c r="GK113" i="3" s="1"/>
  <c r="GK114" i="3" s="1"/>
  <c r="GK115" i="3" s="1"/>
  <c r="GK116" i="3" s="1"/>
  <c r="GK117" i="3" s="1"/>
  <c r="GK118" i="3" s="1"/>
  <c r="GK119" i="3" s="1"/>
  <c r="GK120" i="3" s="1"/>
  <c r="GK121" i="3" s="1"/>
  <c r="GK122" i="3" s="1"/>
  <c r="GK123" i="3" s="1"/>
  <c r="GK124" i="3" s="1"/>
  <c r="GK125" i="3" s="1"/>
  <c r="GK126" i="3" s="1"/>
  <c r="GK127" i="3" s="1"/>
  <c r="GK128" i="3" s="1"/>
  <c r="GK129" i="3" s="1"/>
  <c r="GK130" i="3" s="1"/>
  <c r="GK131" i="3" s="1"/>
  <c r="GK132" i="3" s="1"/>
  <c r="GK133" i="3" s="1"/>
  <c r="GK134" i="3" s="1"/>
  <c r="GK135" i="3" s="1"/>
  <c r="GK136" i="3" s="1"/>
  <c r="GK137" i="3" s="1"/>
  <c r="GK138" i="3" s="1"/>
  <c r="GK139" i="3" s="1"/>
  <c r="GK140" i="3" s="1"/>
  <c r="GK141" i="3" s="1"/>
  <c r="GK142" i="3" s="1"/>
  <c r="GK143" i="3" s="1"/>
  <c r="GK144" i="3" s="1"/>
  <c r="GK145" i="3" s="1"/>
  <c r="GK146" i="3" s="1"/>
  <c r="GK147" i="3" s="1"/>
  <c r="GK148" i="3" s="1"/>
  <c r="GK149" i="3" s="1"/>
  <c r="GK150" i="3" s="1"/>
  <c r="GK151" i="3" s="1"/>
  <c r="GK152" i="3" s="1"/>
  <c r="GK153" i="3" s="1"/>
  <c r="GK154" i="3" s="1"/>
  <c r="GK155" i="3" s="1"/>
  <c r="GK156" i="3" s="1"/>
  <c r="GK157" i="3" s="1"/>
  <c r="GK158" i="3" s="1"/>
  <c r="GK159" i="3" s="1"/>
  <c r="GK160" i="3" s="1"/>
  <c r="GK161" i="3" s="1"/>
  <c r="GK162" i="3" s="1"/>
  <c r="GK163" i="3" s="1"/>
  <c r="GK164" i="3" s="1"/>
  <c r="GK165" i="3" s="1"/>
  <c r="GK166" i="3" s="1"/>
  <c r="GK167" i="3" s="1"/>
  <c r="GK168" i="3" s="1"/>
  <c r="GK169" i="3" s="1"/>
  <c r="GK170" i="3" s="1"/>
  <c r="GK171" i="3" s="1"/>
  <c r="GK172" i="3" s="1"/>
  <c r="GK173" i="3" s="1"/>
  <c r="EV64" i="3"/>
  <c r="EV160" i="3"/>
  <c r="EV88" i="3"/>
  <c r="EV123" i="3"/>
  <c r="EV98" i="3"/>
  <c r="EV77" i="3"/>
  <c r="EV11" i="3"/>
  <c r="EV43" i="3"/>
  <c r="EV25" i="3"/>
  <c r="EV118" i="3"/>
  <c r="EV13" i="3"/>
  <c r="EV26" i="3"/>
  <c r="EV131" i="3"/>
  <c r="EV150" i="3"/>
  <c r="EV84" i="3"/>
  <c r="EV53" i="3"/>
  <c r="EV162" i="3"/>
  <c r="EU162" i="3" s="1"/>
  <c r="EV81" i="3"/>
  <c r="EV111" i="3"/>
  <c r="EV42" i="3"/>
  <c r="EV8" i="3"/>
  <c r="EV80" i="3"/>
  <c r="EV169" i="3"/>
  <c r="EV16" i="3"/>
  <c r="EV66" i="3"/>
  <c r="EV129" i="3"/>
  <c r="EV164" i="3"/>
  <c r="EV106" i="3"/>
  <c r="EV58" i="3"/>
  <c r="EV139" i="3"/>
  <c r="EV107" i="3"/>
  <c r="EV69" i="3"/>
  <c r="EV100" i="3"/>
  <c r="EV110" i="3"/>
  <c r="EV147" i="3"/>
  <c r="EV167" i="3"/>
  <c r="EV82" i="3"/>
  <c r="EV89" i="3"/>
  <c r="EV87" i="3"/>
  <c r="EV48" i="3"/>
  <c r="EV152" i="3"/>
  <c r="EV86" i="3"/>
  <c r="EV20" i="3"/>
  <c r="EV21" i="3"/>
  <c r="EV113" i="3"/>
  <c r="EV161" i="3"/>
  <c r="EV22" i="3"/>
  <c r="EV74" i="3"/>
  <c r="EV99" i="3"/>
  <c r="EV45" i="3"/>
  <c r="EV128" i="3"/>
  <c r="EV148" i="3"/>
  <c r="EV52" i="3"/>
  <c r="EV108" i="3"/>
  <c r="EV117" i="3"/>
  <c r="EV57" i="3"/>
  <c r="EV27" i="3"/>
  <c r="EV132" i="3"/>
  <c r="EV33" i="3"/>
  <c r="EV14" i="3"/>
  <c r="EV95" i="3"/>
  <c r="EV138" i="3"/>
  <c r="EV24" i="3"/>
  <c r="EV170" i="3"/>
  <c r="EV93" i="3"/>
  <c r="EV172" i="3"/>
  <c r="EV159" i="3"/>
  <c r="EV174" i="3"/>
  <c r="EU174" i="3" s="1"/>
  <c r="EV146" i="3"/>
  <c r="EV92" i="3"/>
  <c r="EV115" i="3"/>
  <c r="EV104" i="3"/>
  <c r="EV72" i="3"/>
  <c r="EV127" i="3"/>
  <c r="EV41" i="3"/>
  <c r="EV35" i="3"/>
  <c r="EV140" i="3"/>
  <c r="EV155" i="3"/>
  <c r="EV90" i="3"/>
  <c r="EV65" i="3"/>
  <c r="EV28" i="3"/>
  <c r="EV62" i="3"/>
  <c r="EV105" i="3"/>
  <c r="GI162" i="3"/>
  <c r="GI163" i="3" s="1"/>
  <c r="GI164" i="3" s="1"/>
  <c r="GI165" i="3" s="1"/>
  <c r="GI166" i="3" s="1"/>
  <c r="GI167" i="3" s="1"/>
  <c r="GI168" i="3" s="1"/>
  <c r="GI169" i="3" s="1"/>
  <c r="GI170" i="3" s="1"/>
  <c r="GI171" i="3" s="1"/>
  <c r="GI172" i="3" s="1"/>
  <c r="GI173" i="3" s="1"/>
  <c r="EU153" i="3"/>
  <c r="EU163" i="3"/>
  <c r="EH151" i="3" l="1"/>
  <c r="EH153" i="3"/>
  <c r="EH159" i="3"/>
  <c r="EH165" i="3"/>
  <c r="EH167" i="3"/>
  <c r="EH173" i="3"/>
  <c r="ET175" i="3"/>
  <c r="EH177" i="3"/>
  <c r="ET181" i="3"/>
  <c r="EW175" i="3"/>
  <c r="EZ175" i="3" s="1"/>
  <c r="GI174" i="3" s="1"/>
  <c r="GI175" i="3" s="1"/>
  <c r="EW177" i="3"/>
  <c r="EZ177" i="3" s="1"/>
  <c r="EW180" i="3"/>
  <c r="EZ180" i="3" s="1"/>
  <c r="EW183" i="3"/>
  <c r="EZ183" i="3" s="1"/>
  <c r="EU176" i="3"/>
  <c r="EU181" i="3"/>
  <c r="EU182" i="3"/>
  <c r="GI176" i="3" l="1"/>
  <c r="GI177" i="3" s="1"/>
  <c r="GI178" i="3" s="1"/>
  <c r="GI179" i="3" s="1"/>
  <c r="GI180" i="3" s="1"/>
  <c r="GI181" i="3" s="1"/>
  <c r="GI182" i="3" s="1"/>
  <c r="GI183" i="3" s="1"/>
  <c r="GI184" i="3" s="1"/>
  <c r="GI185" i="3" s="1"/>
  <c r="EX177" i="3"/>
  <c r="EY177" i="3" s="1"/>
  <c r="EX180" i="3"/>
  <c r="EY180" i="3" s="1"/>
  <c r="EX179" i="3"/>
  <c r="EY179" i="3" s="1"/>
  <c r="EX176" i="3"/>
  <c r="EY176" i="3" s="1"/>
  <c r="EX178" i="3"/>
  <c r="EY178" i="3" s="1"/>
  <c r="EU180" i="3"/>
  <c r="EX181" i="3"/>
  <c r="EY181" i="3" s="1"/>
  <c r="EX184" i="3"/>
  <c r="EY184" i="3" s="1"/>
  <c r="EU183" i="3"/>
  <c r="EX182" i="3"/>
  <c r="EY182" i="3" s="1"/>
  <c r="EU175" i="3"/>
  <c r="EX175" i="3"/>
  <c r="EX185" i="3"/>
  <c r="EY185" i="3" s="1"/>
  <c r="EX186" i="3"/>
  <c r="EY186" i="3" s="1"/>
  <c r="EU177" i="3"/>
  <c r="EX183" i="3"/>
  <c r="EY183" i="3" s="1"/>
  <c r="EY175" i="3" l="1"/>
  <c r="GK174" i="3" s="1"/>
  <c r="GK175" i="3" s="1"/>
  <c r="GK176" i="3" s="1"/>
  <c r="GK177" i="3" s="1"/>
  <c r="GK178" i="3" s="1"/>
  <c r="GK179" i="3" s="1"/>
  <c r="GK180" i="3" s="1"/>
  <c r="GK181" i="3" s="1"/>
  <c r="GK182" i="3" s="1"/>
  <c r="GK183" i="3" s="1"/>
  <c r="GK184" i="3" s="1"/>
  <c r="GK185" i="3" s="1"/>
  <c r="EV184" i="3"/>
  <c r="EV181" i="3"/>
  <c r="EV179" i="3"/>
  <c r="EV182" i="3"/>
  <c r="EV180" i="3"/>
  <c r="EV176" i="3"/>
  <c r="EV177" i="3"/>
  <c r="EV178" i="3"/>
  <c r="EV175" i="3"/>
  <c r="EV185" i="3"/>
  <c r="EV186" i="3"/>
  <c r="EV183" i="3"/>
  <c r="DK24" i="3" l="1"/>
  <c r="FE7" i="3" s="1"/>
  <c r="FC153" i="3" l="1"/>
  <c r="FC157" i="3"/>
  <c r="FC161" i="3"/>
  <c r="FC165" i="3"/>
  <c r="FC169" i="3"/>
  <c r="FC173" i="3"/>
  <c r="FC177" i="3"/>
  <c r="FC181" i="3"/>
  <c r="FC185" i="3"/>
  <c r="FC152" i="3"/>
  <c r="FC156" i="3"/>
  <c r="FC160" i="3"/>
  <c r="FC164" i="3"/>
  <c r="FC168" i="3"/>
  <c r="FC172" i="3"/>
  <c r="FC176" i="3"/>
  <c r="FC180" i="3"/>
  <c r="FC184" i="3"/>
  <c r="FC154" i="3"/>
  <c r="FC158" i="3"/>
  <c r="FC166" i="3"/>
  <c r="FC174" i="3"/>
  <c r="FC182" i="3"/>
  <c r="FC151" i="3"/>
  <c r="FC155" i="3"/>
  <c r="FC159" i="3"/>
  <c r="FC163" i="3"/>
  <c r="FC167" i="3"/>
  <c r="FC171" i="3"/>
  <c r="FC175" i="3"/>
  <c r="FC179" i="3"/>
  <c r="FC183" i="3"/>
  <c r="FC162" i="3"/>
  <c r="FC170" i="3"/>
  <c r="FC178" i="3"/>
  <c r="FC186" i="3"/>
  <c r="FE152" i="3"/>
  <c r="FE156" i="3"/>
  <c r="FE160" i="3"/>
  <c r="FE164" i="3"/>
  <c r="FE168" i="3"/>
  <c r="FE173" i="3"/>
  <c r="FE177" i="3"/>
  <c r="FE181" i="3"/>
  <c r="FE185" i="3"/>
  <c r="FE151" i="3"/>
  <c r="FE155" i="3"/>
  <c r="FE159" i="3"/>
  <c r="FE163" i="3"/>
  <c r="FE167" i="3"/>
  <c r="FE172" i="3"/>
  <c r="FE176" i="3"/>
  <c r="FE180" i="3"/>
  <c r="FE184" i="3"/>
  <c r="FE154" i="3"/>
  <c r="FE158" i="3"/>
  <c r="FE162" i="3"/>
  <c r="FE166" i="3"/>
  <c r="FE170" i="3"/>
  <c r="FE175" i="3"/>
  <c r="FE179" i="3"/>
  <c r="FE183" i="3"/>
  <c r="FE171" i="3"/>
  <c r="FE153" i="3"/>
  <c r="FE157" i="3"/>
  <c r="FE161" i="3"/>
  <c r="FE165" i="3"/>
  <c r="FE169" i="3"/>
  <c r="FE174" i="3"/>
  <c r="FE178" i="3"/>
  <c r="FE182" i="3"/>
  <c r="FE186" i="3"/>
  <c r="FC150" i="3"/>
  <c r="FC34" i="3"/>
  <c r="FC33" i="3"/>
  <c r="FC93" i="3"/>
  <c r="FC11" i="3"/>
  <c r="FC77" i="3"/>
  <c r="FC9" i="3"/>
  <c r="FC123" i="3"/>
  <c r="FC49" i="3"/>
  <c r="FC114" i="3"/>
  <c r="FC8" i="3"/>
  <c r="FC81" i="3"/>
  <c r="FC71" i="3"/>
  <c r="FC127" i="3"/>
  <c r="FC142" i="3"/>
  <c r="FC7" i="3"/>
  <c r="FC36" i="3"/>
  <c r="FC78" i="3"/>
  <c r="FC52" i="3"/>
  <c r="FC75" i="3"/>
  <c r="FC107" i="3"/>
  <c r="FC132" i="3"/>
  <c r="FC109" i="3"/>
  <c r="FC145" i="3"/>
  <c r="FC32" i="3"/>
  <c r="FC54" i="3"/>
  <c r="FC108" i="3"/>
  <c r="FC115" i="3"/>
  <c r="FC17" i="3"/>
  <c r="FC24" i="3"/>
  <c r="FC50" i="3"/>
  <c r="FC92" i="3"/>
  <c r="FC64" i="3"/>
  <c r="FC87" i="3"/>
  <c r="FC116" i="3"/>
  <c r="FC149" i="3"/>
  <c r="FC128" i="3"/>
  <c r="FC144" i="3"/>
  <c r="FC82" i="3"/>
  <c r="FC136" i="3"/>
  <c r="FC55" i="3"/>
  <c r="FC16" i="3"/>
  <c r="FC124" i="3"/>
  <c r="FC43" i="3"/>
  <c r="FC101" i="3"/>
  <c r="FC26" i="3"/>
  <c r="FC94" i="3"/>
  <c r="FC122" i="3"/>
  <c r="FC148" i="3"/>
  <c r="FC30" i="3"/>
  <c r="FC134" i="3"/>
  <c r="FC6" i="3"/>
  <c r="FC72" i="3"/>
  <c r="FC74" i="3"/>
  <c r="FC131" i="3"/>
  <c r="FC143" i="3"/>
  <c r="FC73" i="3"/>
  <c r="FC97" i="3"/>
  <c r="FC110" i="3"/>
  <c r="FC135" i="3"/>
  <c r="FC146" i="3"/>
  <c r="FC89" i="3"/>
  <c r="FC139" i="3"/>
  <c r="FC14" i="3"/>
  <c r="FC59" i="3"/>
  <c r="FC113" i="3"/>
  <c r="FC119" i="3"/>
  <c r="FC46" i="3"/>
  <c r="FC121" i="3"/>
  <c r="FC23" i="3"/>
  <c r="FC57" i="3"/>
  <c r="FC68" i="3"/>
  <c r="FC125" i="3"/>
  <c r="FC140" i="3"/>
  <c r="FC130" i="3"/>
  <c r="FC70" i="3"/>
  <c r="FC41" i="3"/>
  <c r="FC56" i="3"/>
  <c r="FC117" i="3"/>
  <c r="FC67" i="3"/>
  <c r="FC21" i="3"/>
  <c r="FC84" i="3"/>
  <c r="FC20" i="3"/>
  <c r="FC53" i="3"/>
  <c r="FC61" i="3"/>
  <c r="FC112" i="3"/>
  <c r="FC120" i="3"/>
  <c r="FC25" i="3"/>
  <c r="FC31" i="3"/>
  <c r="FC60" i="3"/>
  <c r="FC42" i="3"/>
  <c r="FC69" i="3"/>
  <c r="FC98" i="3"/>
  <c r="FC126" i="3"/>
  <c r="FC99" i="3"/>
  <c r="FC141" i="3"/>
  <c r="FC18" i="3"/>
  <c r="FC38" i="3"/>
  <c r="FC91" i="3"/>
  <c r="FC95" i="3"/>
  <c r="FC10" i="3"/>
  <c r="FC12" i="3"/>
  <c r="FC45" i="3"/>
  <c r="FC85" i="3"/>
  <c r="FC58" i="3"/>
  <c r="FC79" i="3"/>
  <c r="FC111" i="3"/>
  <c r="FC137" i="3"/>
  <c r="FC118" i="3"/>
  <c r="FC103" i="3"/>
  <c r="FC28" i="3"/>
  <c r="FC62" i="3"/>
  <c r="FC37" i="3"/>
  <c r="FC102" i="3"/>
  <c r="FC19" i="3"/>
  <c r="FC51" i="3"/>
  <c r="FC66" i="3"/>
  <c r="FC88" i="3"/>
  <c r="FC129" i="3"/>
  <c r="FC63" i="3"/>
  <c r="FC76" i="3"/>
  <c r="FC147" i="3"/>
  <c r="FC35" i="3"/>
  <c r="FC47" i="3"/>
  <c r="FC106" i="3"/>
  <c r="FC105" i="3"/>
  <c r="FC48" i="3"/>
  <c r="FC104" i="3"/>
  <c r="FC39" i="3"/>
  <c r="FC22" i="3"/>
  <c r="FC90" i="3"/>
  <c r="FC27" i="3"/>
  <c r="FC83" i="3"/>
  <c r="FC13" i="3"/>
  <c r="FC44" i="3"/>
  <c r="FC86" i="3"/>
  <c r="FC80" i="3"/>
  <c r="FC138" i="3"/>
  <c r="FC15" i="3"/>
  <c r="FC65" i="3"/>
  <c r="FC133" i="3"/>
  <c r="FC29" i="3"/>
  <c r="FC40" i="3"/>
  <c r="FC96" i="3"/>
  <c r="FC100" i="3"/>
  <c r="FE54" i="3"/>
  <c r="FE58" i="3"/>
  <c r="FE62" i="3"/>
  <c r="FE66" i="3"/>
  <c r="FE83" i="3"/>
  <c r="FE94" i="3"/>
  <c r="FE104" i="3"/>
  <c r="FE10" i="3"/>
  <c r="FE15" i="3"/>
  <c r="FE19" i="3"/>
  <c r="FE23" i="3"/>
  <c r="FE27" i="3"/>
  <c r="FE31" i="3"/>
  <c r="FE35" i="3"/>
  <c r="FE41" i="3"/>
  <c r="FE45" i="3"/>
  <c r="FE49" i="3"/>
  <c r="FE70" i="3"/>
  <c r="FE74" i="3"/>
  <c r="FE78" i="3"/>
  <c r="FE82" i="3"/>
  <c r="FE90" i="3"/>
  <c r="FE95" i="3"/>
  <c r="FE101" i="3"/>
  <c r="FE108" i="3"/>
  <c r="FE116" i="3"/>
  <c r="FE124" i="3"/>
  <c r="FE130" i="3"/>
  <c r="FE136" i="3"/>
  <c r="FE140" i="3"/>
  <c r="FE150" i="3"/>
  <c r="FE114" i="3"/>
  <c r="FE122" i="3"/>
  <c r="FE134" i="3"/>
  <c r="FE144" i="3"/>
  <c r="FE40" i="3"/>
  <c r="FE60" i="3"/>
  <c r="FE68" i="3"/>
  <c r="FE98" i="3"/>
  <c r="FE12" i="3"/>
  <c r="FE21" i="3"/>
  <c r="FE29" i="3"/>
  <c r="FE37" i="3"/>
  <c r="FE47" i="3"/>
  <c r="FE72" i="3"/>
  <c r="FE80" i="3"/>
  <c r="FE92" i="3"/>
  <c r="FE110" i="3"/>
  <c r="FE128" i="3"/>
  <c r="FE138" i="3"/>
  <c r="FE112" i="3"/>
  <c r="FE142" i="3"/>
  <c r="FE8" i="3"/>
  <c r="FE67" i="3"/>
  <c r="FE97" i="3"/>
  <c r="FE11" i="3"/>
  <c r="FE20" i="3"/>
  <c r="FE28" i="3"/>
  <c r="FE36" i="3"/>
  <c r="FE46" i="3"/>
  <c r="FE75" i="3"/>
  <c r="FE85" i="3"/>
  <c r="FE96" i="3"/>
  <c r="FE109" i="3"/>
  <c r="FE127" i="3"/>
  <c r="FE137" i="3"/>
  <c r="FE111" i="3"/>
  <c r="FE125" i="3"/>
  <c r="FE147" i="3"/>
  <c r="FE53" i="3"/>
  <c r="FE57" i="3"/>
  <c r="FE61" i="3"/>
  <c r="FE65" i="3"/>
  <c r="FE69" i="3"/>
  <c r="FE88" i="3"/>
  <c r="FE103" i="3"/>
  <c r="FE9" i="3"/>
  <c r="FE14" i="3"/>
  <c r="FE18" i="3"/>
  <c r="FE22" i="3"/>
  <c r="FE26" i="3"/>
  <c r="FE30" i="3"/>
  <c r="FE34" i="3"/>
  <c r="FE38" i="3"/>
  <c r="FE44" i="3"/>
  <c r="FE48" i="3"/>
  <c r="FE52" i="3"/>
  <c r="FE73" i="3"/>
  <c r="FE77" i="3"/>
  <c r="FE81" i="3"/>
  <c r="FE89" i="3"/>
  <c r="FE93" i="3"/>
  <c r="FE100" i="3"/>
  <c r="FE107" i="3"/>
  <c r="FE115" i="3"/>
  <c r="FE123" i="3"/>
  <c r="FE129" i="3"/>
  <c r="FE135" i="3"/>
  <c r="FE139" i="3"/>
  <c r="FE149" i="3"/>
  <c r="FE113" i="3"/>
  <c r="FE121" i="3"/>
  <c r="FE133" i="3"/>
  <c r="FE143" i="3"/>
  <c r="FE13" i="3"/>
  <c r="FE56" i="3"/>
  <c r="FE64" i="3"/>
  <c r="FE87" i="3"/>
  <c r="FE17" i="3"/>
  <c r="FE25" i="3"/>
  <c r="FE33" i="3"/>
  <c r="FE43" i="3"/>
  <c r="FE51" i="3"/>
  <c r="FE76" i="3"/>
  <c r="FE86" i="3"/>
  <c r="FE99" i="3"/>
  <c r="FE106" i="3"/>
  <c r="FE120" i="3"/>
  <c r="FE132" i="3"/>
  <c r="FE146" i="3"/>
  <c r="FE118" i="3"/>
  <c r="FE126" i="3"/>
  <c r="FE148" i="3"/>
  <c r="FE39" i="3"/>
  <c r="FE55" i="3"/>
  <c r="FE59" i="3"/>
  <c r="FE63" i="3"/>
  <c r="FE84" i="3"/>
  <c r="FE105" i="3"/>
  <c r="FE16" i="3"/>
  <c r="FE24" i="3"/>
  <c r="FE32" i="3"/>
  <c r="FE42" i="3"/>
  <c r="FE50" i="3"/>
  <c r="FE71" i="3"/>
  <c r="FE79" i="3"/>
  <c r="FE91" i="3"/>
  <c r="FE102" i="3"/>
  <c r="FE119" i="3"/>
  <c r="FE131" i="3"/>
  <c r="FE145" i="3"/>
  <c r="FE117" i="3"/>
  <c r="FE141" i="3"/>
  <c r="G324" i="3" l="1"/>
  <c r="G325" i="3"/>
  <c r="AH46" i="3" l="1"/>
  <c r="AH41" i="3"/>
  <c r="AH36" i="3"/>
  <c r="AI46" i="3" l="1"/>
  <c r="AK46" i="3" s="1"/>
  <c r="AI41" i="3"/>
  <c r="AK41" i="3" s="1"/>
  <c r="AI36" i="3"/>
  <c r="AK36" i="3" s="1"/>
  <c r="AI31" i="3"/>
  <c r="AK31" i="3" s="1"/>
  <c r="AI26" i="3"/>
  <c r="AK26" i="3" s="1"/>
  <c r="AI21" i="3"/>
  <c r="AK21" i="3" s="1"/>
  <c r="AI11" i="3"/>
  <c r="AK11" i="3" s="1"/>
  <c r="AJ6" i="3"/>
  <c r="AD22" i="3"/>
  <c r="AI22" i="3" s="1"/>
  <c r="AD17" i="3"/>
  <c r="AI17" i="3" s="1"/>
  <c r="AD37" i="3"/>
  <c r="AI37" i="3" s="1"/>
  <c r="AE32" i="3"/>
  <c r="AH32" i="3" s="1"/>
  <c r="AF7" i="3"/>
  <c r="AF32" i="3"/>
  <c r="AG7" i="3"/>
  <c r="AR7" i="3" s="1"/>
  <c r="AG32" i="3"/>
  <c r="AR32" i="3" s="1"/>
  <c r="AD42" i="3"/>
  <c r="AI42" i="3" s="1"/>
  <c r="AE7" i="3"/>
  <c r="AH7" i="3" s="1"/>
  <c r="AE12" i="3"/>
  <c r="AH12" i="3" s="1"/>
  <c r="AE37" i="3"/>
  <c r="AH37" i="3" s="1"/>
  <c r="AF12" i="3"/>
  <c r="AF37" i="3"/>
  <c r="AG12" i="3"/>
  <c r="AR12" i="3" s="1"/>
  <c r="AG37" i="3"/>
  <c r="AR37" i="3" s="1"/>
  <c r="AD7" i="3"/>
  <c r="AI7" i="3" s="1"/>
  <c r="AD32" i="3"/>
  <c r="AI32" i="3" s="1"/>
  <c r="AE22" i="3"/>
  <c r="AH22" i="3" s="1"/>
  <c r="AE17" i="3"/>
  <c r="AH17" i="3" s="1"/>
  <c r="AE42" i="3"/>
  <c r="AH42" i="3" s="1"/>
  <c r="AF22" i="3"/>
  <c r="AF17" i="3"/>
  <c r="AF42" i="3"/>
  <c r="AG22" i="3"/>
  <c r="AR22" i="3" s="1"/>
  <c r="AG17" i="3"/>
  <c r="AR17" i="3" s="1"/>
  <c r="AG42" i="3"/>
  <c r="AR42" i="3" s="1"/>
  <c r="AD27" i="3"/>
  <c r="AI27" i="3" s="1"/>
  <c r="AD12" i="3"/>
  <c r="AI12" i="3" s="1"/>
  <c r="AE27" i="3"/>
  <c r="AH27" i="3" s="1"/>
  <c r="AF27" i="3"/>
  <c r="AG27" i="3"/>
  <c r="AR27" i="3" s="1"/>
  <c r="AS42" i="3" l="1"/>
  <c r="AU42" i="3" s="1"/>
  <c r="AT42" i="3" s="1"/>
  <c r="AW42" i="3"/>
  <c r="AV37" i="3"/>
  <c r="AV42" i="3"/>
  <c r="AS37" i="3"/>
  <c r="AU37" i="3" s="1"/>
  <c r="AT37" i="3" s="1"/>
  <c r="AW37" i="3"/>
  <c r="AW27" i="3"/>
  <c r="AW17" i="3"/>
  <c r="AW22" i="3"/>
  <c r="AW32" i="3"/>
  <c r="AW12" i="3"/>
  <c r="AW7" i="3"/>
  <c r="AK17" i="3"/>
  <c r="AJ17" i="3" s="1"/>
  <c r="AK12" i="3"/>
  <c r="AJ12" i="3" s="1"/>
  <c r="AK27" i="3"/>
  <c r="AJ27" i="3" s="1"/>
  <c r="AK7" i="3"/>
  <c r="AJ7" i="3" s="1"/>
  <c r="AK22" i="3"/>
  <c r="AJ22" i="3" s="1"/>
  <c r="AJ36" i="3"/>
  <c r="AK42" i="3"/>
  <c r="AJ11" i="3"/>
  <c r="AJ21" i="3"/>
  <c r="AK37" i="3"/>
  <c r="AK32" i="3"/>
  <c r="AJ26" i="3"/>
  <c r="AJ31" i="3"/>
  <c r="AJ41" i="3"/>
  <c r="AJ46" i="3"/>
  <c r="AG23" i="3"/>
  <c r="AR23" i="3" s="1"/>
  <c r="AF18" i="3"/>
  <c r="AD33" i="3"/>
  <c r="AI33" i="3" s="1"/>
  <c r="AG38" i="3"/>
  <c r="AR38" i="3" s="1"/>
  <c r="AF38" i="3"/>
  <c r="AE38" i="3"/>
  <c r="AH38" i="3" s="1"/>
  <c r="AE8" i="3"/>
  <c r="AH8" i="3" s="1"/>
  <c r="AG33" i="3"/>
  <c r="AR33" i="3" s="1"/>
  <c r="AF33" i="3"/>
  <c r="AE33" i="3"/>
  <c r="AH33" i="3" s="1"/>
  <c r="AF28" i="3"/>
  <c r="AD13" i="3"/>
  <c r="AI13" i="3" s="1"/>
  <c r="AG43" i="3"/>
  <c r="AR43" i="3" s="1"/>
  <c r="AF23" i="3"/>
  <c r="AE18" i="3"/>
  <c r="AH18" i="3" s="1"/>
  <c r="AF43" i="3"/>
  <c r="AE23" i="3"/>
  <c r="AH23" i="3" s="1"/>
  <c r="AD8" i="3"/>
  <c r="AI8" i="3" s="1"/>
  <c r="AG13" i="3"/>
  <c r="AR13" i="3" s="1"/>
  <c r="AF13" i="3"/>
  <c r="AE13" i="3"/>
  <c r="AH13" i="3" s="1"/>
  <c r="AD43" i="3"/>
  <c r="AI43" i="3" s="1"/>
  <c r="AG8" i="3"/>
  <c r="AR8" i="3" s="1"/>
  <c r="AF8" i="3"/>
  <c r="AD38" i="3"/>
  <c r="AI38" i="3" s="1"/>
  <c r="AD18" i="3"/>
  <c r="AI18" i="3" s="1"/>
  <c r="AG28" i="3"/>
  <c r="AR28" i="3" s="1"/>
  <c r="AE28" i="3"/>
  <c r="AH28" i="3" s="1"/>
  <c r="AD28" i="3"/>
  <c r="AI28" i="3" s="1"/>
  <c r="AG18" i="3"/>
  <c r="AR18" i="3" s="1"/>
  <c r="AE43" i="3"/>
  <c r="AH43" i="3" s="1"/>
  <c r="AD23" i="3"/>
  <c r="AI23" i="3" s="1"/>
  <c r="AY42" i="3" l="1"/>
  <c r="AX42" i="3" s="1"/>
  <c r="AV38" i="3"/>
  <c r="AY37" i="3"/>
  <c r="AX37" i="3" s="1"/>
  <c r="AS43" i="3"/>
  <c r="AU43" i="3" s="1"/>
  <c r="AT43" i="3" s="1"/>
  <c r="AW43" i="3"/>
  <c r="AV43" i="3"/>
  <c r="AS38" i="3"/>
  <c r="AU38" i="3" s="1"/>
  <c r="AT38" i="3" s="1"/>
  <c r="AW38" i="3"/>
  <c r="AW28" i="3"/>
  <c r="AW23" i="3"/>
  <c r="AW18" i="3"/>
  <c r="AW33" i="3"/>
  <c r="AW8" i="3"/>
  <c r="AW13" i="3"/>
  <c r="AK18" i="3"/>
  <c r="AJ18" i="3" s="1"/>
  <c r="AK8" i="3"/>
  <c r="AJ8" i="3" s="1"/>
  <c r="AK23" i="3"/>
  <c r="AJ23" i="3" s="1"/>
  <c r="AK13" i="3"/>
  <c r="AK28" i="3"/>
  <c r="AK43" i="3"/>
  <c r="AJ37" i="3"/>
  <c r="AJ42" i="3"/>
  <c r="AK33" i="3"/>
  <c r="AK38" i="3"/>
  <c r="AJ32" i="3"/>
  <c r="AE29" i="3"/>
  <c r="AH29" i="3" s="1"/>
  <c r="AD44" i="3"/>
  <c r="AI44" i="3" s="1"/>
  <c r="AD9" i="3"/>
  <c r="AI9" i="3" s="1"/>
  <c r="AE19" i="3"/>
  <c r="AH19" i="3" s="1"/>
  <c r="AG44" i="3"/>
  <c r="AR44" i="3" s="1"/>
  <c r="AE9" i="3"/>
  <c r="AH9" i="3" s="1"/>
  <c r="AF19" i="3"/>
  <c r="AD24" i="3"/>
  <c r="AI24" i="3" s="1"/>
  <c r="AE44" i="3"/>
  <c r="AH44" i="3" s="1"/>
  <c r="AD29" i="3"/>
  <c r="AI29" i="3" s="1"/>
  <c r="AG29" i="3"/>
  <c r="AR29" i="3" s="1"/>
  <c r="AD39" i="3"/>
  <c r="AI39" i="3" s="1"/>
  <c r="AG9" i="3"/>
  <c r="AR9" i="3" s="1"/>
  <c r="AE14" i="3"/>
  <c r="AH14" i="3" s="1"/>
  <c r="AG14" i="3"/>
  <c r="AR14" i="3" s="1"/>
  <c r="AE24" i="3"/>
  <c r="AH24" i="3" s="1"/>
  <c r="AF44" i="3"/>
  <c r="AG19" i="3"/>
  <c r="AR19" i="3" s="1"/>
  <c r="AD19" i="3"/>
  <c r="AI19" i="3" s="1"/>
  <c r="AF9" i="3"/>
  <c r="AF14" i="3"/>
  <c r="AF29" i="3"/>
  <c r="AF34" i="3"/>
  <c r="AF39" i="3"/>
  <c r="AD34" i="3"/>
  <c r="AI34" i="3" s="1"/>
  <c r="AF24" i="3"/>
  <c r="AD14" i="3"/>
  <c r="AI14" i="3" s="1"/>
  <c r="AE34" i="3"/>
  <c r="AH34" i="3" s="1"/>
  <c r="AG34" i="3"/>
  <c r="AR34" i="3" s="1"/>
  <c r="AE39" i="3"/>
  <c r="AH39" i="3" s="1"/>
  <c r="AG39" i="3"/>
  <c r="AR39" i="3" s="1"/>
  <c r="AG24" i="3"/>
  <c r="AR24" i="3" s="1"/>
  <c r="DF12" i="3" l="1"/>
  <c r="AV39" i="3"/>
  <c r="AS44" i="3"/>
  <c r="AU44" i="3" s="1"/>
  <c r="AT44" i="3" s="1"/>
  <c r="AW44" i="3"/>
  <c r="AV44" i="3"/>
  <c r="AY43" i="3"/>
  <c r="AX43" i="3" s="1"/>
  <c r="AS39" i="3"/>
  <c r="AU39" i="3" s="1"/>
  <c r="AT39" i="3" s="1"/>
  <c r="AW39" i="3"/>
  <c r="AY38" i="3"/>
  <c r="AX38" i="3" s="1"/>
  <c r="AW34" i="3"/>
  <c r="AW19" i="3"/>
  <c r="AW24" i="3"/>
  <c r="AW29" i="3"/>
  <c r="AW14" i="3"/>
  <c r="AW9" i="3"/>
  <c r="AJ13" i="3"/>
  <c r="AK14" i="3"/>
  <c r="AJ14" i="3" s="1"/>
  <c r="AK19" i="3"/>
  <c r="AJ19" i="3" s="1"/>
  <c r="AK9" i="3"/>
  <c r="AJ9" i="3" s="1"/>
  <c r="AK29" i="3"/>
  <c r="AJ28" i="3"/>
  <c r="AK24" i="3"/>
  <c r="AK39" i="3"/>
  <c r="AJ38" i="3"/>
  <c r="AJ43" i="3"/>
  <c r="AK44" i="3"/>
  <c r="AK34" i="3"/>
  <c r="AJ33" i="3"/>
  <c r="AG25" i="3"/>
  <c r="AR25" i="3" s="1"/>
  <c r="AG40" i="3"/>
  <c r="AR40" i="3" s="1"/>
  <c r="AG35" i="3"/>
  <c r="AR35" i="3" s="1"/>
  <c r="AD15" i="3"/>
  <c r="AI15" i="3" s="1"/>
  <c r="AD35" i="3"/>
  <c r="AI35" i="3" s="1"/>
  <c r="AF35" i="3"/>
  <c r="AF10" i="3"/>
  <c r="AG20" i="3"/>
  <c r="AR20" i="3" s="1"/>
  <c r="AF45" i="3"/>
  <c r="AG15" i="3"/>
  <c r="AR15" i="3" s="1"/>
  <c r="AG10" i="3"/>
  <c r="AR10" i="3" s="1"/>
  <c r="AG30" i="3"/>
  <c r="AR30" i="3" s="1"/>
  <c r="AE45" i="3"/>
  <c r="AH45" i="3" s="1"/>
  <c r="AF20" i="3"/>
  <c r="AG45" i="3"/>
  <c r="AR45" i="3" s="1"/>
  <c r="AD45" i="3"/>
  <c r="AI45" i="3" s="1"/>
  <c r="AE40" i="3"/>
  <c r="AH40" i="3" s="1"/>
  <c r="AE35" i="3"/>
  <c r="AH35" i="3" s="1"/>
  <c r="AF25" i="3"/>
  <c r="AF40" i="3"/>
  <c r="AF30" i="3"/>
  <c r="AF15" i="3"/>
  <c r="AD20" i="3"/>
  <c r="AI20" i="3" s="1"/>
  <c r="AE25" i="3"/>
  <c r="AH25" i="3" s="1"/>
  <c r="AE15" i="3"/>
  <c r="AH15" i="3" s="1"/>
  <c r="AD40" i="3"/>
  <c r="AI40" i="3" s="1"/>
  <c r="AD30" i="3"/>
  <c r="AI30" i="3" s="1"/>
  <c r="AD25" i="3"/>
  <c r="AI25" i="3" s="1"/>
  <c r="AE10" i="3"/>
  <c r="AH10" i="3" s="1"/>
  <c r="AE20" i="3"/>
  <c r="AH20" i="3" s="1"/>
  <c r="AD10" i="3"/>
  <c r="AI10" i="3" s="1"/>
  <c r="AE30" i="3"/>
  <c r="AH30" i="3" s="1"/>
  <c r="DF14" i="3" l="1"/>
  <c r="AV40" i="3"/>
  <c r="AS45" i="3"/>
  <c r="AU45" i="3" s="1"/>
  <c r="AT45" i="3" s="1"/>
  <c r="AW45" i="3"/>
  <c r="AY44" i="3"/>
  <c r="AX44" i="3" s="1"/>
  <c r="AY39" i="3"/>
  <c r="AX39" i="3" s="1"/>
  <c r="AV45" i="3"/>
  <c r="AS40" i="3"/>
  <c r="AU40" i="3" s="1"/>
  <c r="AT40" i="3" s="1"/>
  <c r="AW40" i="3"/>
  <c r="AW30" i="3"/>
  <c r="AW25" i="3"/>
  <c r="AW10" i="3"/>
  <c r="AW15" i="3"/>
  <c r="AW20" i="3"/>
  <c r="AW35" i="3"/>
  <c r="AK25" i="3"/>
  <c r="AJ25" i="3" s="1"/>
  <c r="AK30" i="3"/>
  <c r="AK20" i="3"/>
  <c r="AJ20" i="3" s="1"/>
  <c r="AK10" i="3"/>
  <c r="BF6" i="3" s="1"/>
  <c r="DG12" i="3" s="1"/>
  <c r="AJ24" i="3"/>
  <c r="AJ29" i="3"/>
  <c r="AK15" i="3"/>
  <c r="AJ34" i="3"/>
  <c r="AJ39" i="3"/>
  <c r="AK35" i="3"/>
  <c r="AJ44" i="3"/>
  <c r="AK40" i="3"/>
  <c r="AK45" i="3"/>
  <c r="AY40" i="3" l="1"/>
  <c r="AX40" i="3" s="1"/>
  <c r="AY45" i="3"/>
  <c r="AX45" i="3" s="1"/>
  <c r="DK12" i="3"/>
  <c r="DK14" i="3" s="1"/>
  <c r="AJ30" i="3"/>
  <c r="AJ15" i="3"/>
  <c r="AJ10" i="3"/>
  <c r="AJ40" i="3"/>
  <c r="AJ45" i="3"/>
  <c r="AJ35" i="3"/>
  <c r="BE6" i="3" l="1"/>
  <c r="GS30" i="3" s="1"/>
  <c r="FB21" i="3" s="1"/>
  <c r="DN21" i="3" s="1"/>
  <c r="DH12" i="3" l="1"/>
  <c r="GX30" i="3"/>
  <c r="FB26" i="3"/>
  <c r="DN26" i="3" s="1"/>
  <c r="FB48" i="3"/>
  <c r="DN48" i="3" s="1"/>
  <c r="FB33" i="3"/>
  <c r="DN33" i="3" s="1"/>
  <c r="FB43" i="3"/>
  <c r="DN43" i="3" s="1"/>
  <c r="FB22" i="3"/>
  <c r="DN22" i="3" s="1"/>
  <c r="FB49" i="3"/>
  <c r="DN49" i="3" s="1"/>
  <c r="GY30" i="3"/>
  <c r="FB31" i="3"/>
  <c r="DN31" i="3" s="1"/>
  <c r="FB32" i="3"/>
  <c r="DN32" i="3" s="1"/>
  <c r="FB17" i="3"/>
  <c r="DN17" i="3" s="1"/>
  <c r="E79" i="3" s="1"/>
  <c r="FB18" i="3"/>
  <c r="DN18" i="3" s="1"/>
  <c r="FB16" i="3"/>
  <c r="DN16" i="3" s="1"/>
  <c r="E78" i="3" s="1"/>
  <c r="GA8" i="3"/>
  <c r="FD8" i="3" s="1"/>
  <c r="GZ30" i="3"/>
  <c r="FB51" i="3"/>
  <c r="DN51" i="3" s="1"/>
  <c r="FB27" i="3"/>
  <c r="DN27" i="3" s="1"/>
  <c r="FB10" i="3"/>
  <c r="DN10" i="3" s="1"/>
  <c r="FB23" i="3"/>
  <c r="DN23" i="3" s="1"/>
  <c r="FB46" i="3"/>
  <c r="DN46" i="3" s="1"/>
  <c r="FB14" i="3"/>
  <c r="DN14" i="3" s="1"/>
  <c r="FB44" i="3"/>
  <c r="DN44" i="3" s="1"/>
  <c r="FB28" i="3"/>
  <c r="DN28" i="3" s="1"/>
  <c r="FB12" i="3"/>
  <c r="DN12" i="3" s="1"/>
  <c r="E74" i="3" s="1"/>
  <c r="FB45" i="3"/>
  <c r="DN45" i="3" s="1"/>
  <c r="FB29" i="3"/>
  <c r="DN29" i="3" s="1"/>
  <c r="FB13" i="3"/>
  <c r="DN13" i="3" s="1"/>
  <c r="E75" i="3" s="1"/>
  <c r="FB50" i="3"/>
  <c r="DN50" i="3" s="1"/>
  <c r="FB35" i="3"/>
  <c r="DN35" i="3" s="1"/>
  <c r="FB11" i="3"/>
  <c r="DN11" i="3" s="1"/>
  <c r="E73" i="3" s="1"/>
  <c r="FB47" i="3"/>
  <c r="DN47" i="3" s="1"/>
  <c r="FB15" i="3"/>
  <c r="DN15" i="3" s="1"/>
  <c r="FB38" i="3"/>
  <c r="DN38" i="3" s="1"/>
  <c r="FB6" i="3"/>
  <c r="DN6" i="3" s="1"/>
  <c r="FB40" i="3"/>
  <c r="DN40" i="3" s="1"/>
  <c r="FB24" i="3"/>
  <c r="DN24" i="3" s="1"/>
  <c r="FB8" i="3"/>
  <c r="DN8" i="3" s="1"/>
  <c r="E70" i="3" s="1"/>
  <c r="FB41" i="3"/>
  <c r="DN41" i="3" s="1"/>
  <c r="FB25" i="3"/>
  <c r="DN25" i="3" s="1"/>
  <c r="FB9" i="3"/>
  <c r="DN9" i="3" s="1"/>
  <c r="E71" i="3" s="1"/>
  <c r="GQ30" i="3"/>
  <c r="GR30" i="3" s="1"/>
  <c r="FB34" i="3"/>
  <c r="DN34" i="3" s="1"/>
  <c r="FB19" i="3"/>
  <c r="DN19" i="3" s="1"/>
  <c r="FB42" i="3"/>
  <c r="DN42" i="3" s="1"/>
  <c r="FB39" i="3"/>
  <c r="DN39" i="3" s="1"/>
  <c r="FB7" i="3"/>
  <c r="DN7" i="3" s="1"/>
  <c r="E69" i="3" s="1"/>
  <c r="FB30" i="3"/>
  <c r="DN30" i="3" s="1"/>
  <c r="FB52" i="3"/>
  <c r="DN52" i="3" s="1"/>
  <c r="FB36" i="3"/>
  <c r="DN36" i="3" s="1"/>
  <c r="FB20" i="3"/>
  <c r="DN20" i="3" s="1"/>
  <c r="FB53" i="3"/>
  <c r="DN53" i="3" s="1"/>
  <c r="FB37" i="3"/>
  <c r="DN37" i="3" s="1"/>
  <c r="FD46" i="3" l="1"/>
  <c r="DO46" i="3" s="1"/>
  <c r="G108" i="3" s="1"/>
  <c r="FD41" i="3"/>
  <c r="DO41" i="3" s="1"/>
  <c r="G103" i="3" s="1"/>
  <c r="FD23" i="3"/>
  <c r="DO23" i="3" s="1"/>
  <c r="G85" i="3" s="1"/>
  <c r="FD42" i="3"/>
  <c r="DO42" i="3" s="1"/>
  <c r="G104" i="3" s="1"/>
  <c r="FD12" i="3"/>
  <c r="DO12" i="3" s="1"/>
  <c r="G74" i="3" s="1"/>
  <c r="FD11" i="3"/>
  <c r="DO11" i="3" s="1"/>
  <c r="G73" i="3" s="1"/>
  <c r="FD39" i="3"/>
  <c r="DO39" i="3" s="1"/>
  <c r="G101" i="3" s="1"/>
  <c r="FD34" i="3"/>
  <c r="DO34" i="3" s="1"/>
  <c r="G96" i="3" s="1"/>
  <c r="FD45" i="3"/>
  <c r="DO45" i="3" s="1"/>
  <c r="G107" i="3" s="1"/>
  <c r="FD38" i="3"/>
  <c r="DO38" i="3" s="1"/>
  <c r="G100" i="3" s="1"/>
  <c r="FD31" i="3"/>
  <c r="DO31" i="3" s="1"/>
  <c r="G93" i="3" s="1"/>
  <c r="FD21" i="3"/>
  <c r="DO21" i="3" s="1"/>
  <c r="G83" i="3" s="1"/>
  <c r="FD33" i="3"/>
  <c r="DO33" i="3" s="1"/>
  <c r="G95" i="3" s="1"/>
  <c r="FD36" i="3"/>
  <c r="DO36" i="3" s="1"/>
  <c r="G98" i="3" s="1"/>
  <c r="FD43" i="3"/>
  <c r="DO43" i="3" s="1"/>
  <c r="G105" i="3" s="1"/>
  <c r="FD9" i="3"/>
  <c r="DO9" i="3" s="1"/>
  <c r="G71" i="3" s="1"/>
  <c r="FD53" i="3"/>
  <c r="DO53" i="3" s="1"/>
  <c r="G115" i="3" s="1"/>
  <c r="FD32" i="3"/>
  <c r="DO32" i="3" s="1"/>
  <c r="G94" i="3" s="1"/>
  <c r="FD7" i="3"/>
  <c r="DO7" i="3" s="1"/>
  <c r="FD49" i="3"/>
  <c r="DO49" i="3" s="1"/>
  <c r="G111" i="3" s="1"/>
  <c r="FD40" i="3"/>
  <c r="DO40" i="3" s="1"/>
  <c r="G102" i="3" s="1"/>
  <c r="FD22" i="3"/>
  <c r="DO22" i="3" s="1"/>
  <c r="G84" i="3" s="1"/>
  <c r="FD16" i="3"/>
  <c r="DO16" i="3" s="1"/>
  <c r="G78" i="3" s="1"/>
  <c r="FD29" i="3"/>
  <c r="DO29" i="3" s="1"/>
  <c r="G91" i="3" s="1"/>
  <c r="FD13" i="3"/>
  <c r="DO13" i="3" s="1"/>
  <c r="G75" i="3" s="1"/>
  <c r="FD18" i="3"/>
  <c r="DO18" i="3" s="1"/>
  <c r="G80" i="3" s="1"/>
  <c r="FD50" i="3"/>
  <c r="DO50" i="3" s="1"/>
  <c r="G112" i="3" s="1"/>
  <c r="FD28" i="3"/>
  <c r="DO28" i="3" s="1"/>
  <c r="G90" i="3" s="1"/>
  <c r="FD51" i="3"/>
  <c r="DO51" i="3" s="1"/>
  <c r="G113" i="3" s="1"/>
  <c r="FD15" i="3"/>
  <c r="DO15" i="3" s="1"/>
  <c r="G77" i="3" s="1"/>
  <c r="FD17" i="3"/>
  <c r="DO17" i="3" s="1"/>
  <c r="G79" i="3" s="1"/>
  <c r="FD30" i="3"/>
  <c r="DO30" i="3" s="1"/>
  <c r="G92" i="3" s="1"/>
  <c r="FD24" i="3"/>
  <c r="DO24" i="3" s="1"/>
  <c r="G86" i="3" s="1"/>
  <c r="FD20" i="3"/>
  <c r="DO20" i="3" s="1"/>
  <c r="G82" i="3" s="1"/>
  <c r="FD44" i="3"/>
  <c r="DO44" i="3" s="1"/>
  <c r="G106" i="3" s="1"/>
  <c r="FD27" i="3"/>
  <c r="DO27" i="3" s="1"/>
  <c r="G89" i="3" s="1"/>
  <c r="FD19" i="3"/>
  <c r="DO19" i="3" s="1"/>
  <c r="G81" i="3" s="1"/>
  <c r="FD37" i="3"/>
  <c r="DO37" i="3" s="1"/>
  <c r="G99" i="3" s="1"/>
  <c r="FD14" i="3"/>
  <c r="DO14" i="3" s="1"/>
  <c r="G76" i="3" s="1"/>
  <c r="FD48" i="3"/>
  <c r="DO48" i="3" s="1"/>
  <c r="G110" i="3" s="1"/>
  <c r="FD52" i="3"/>
  <c r="DO52" i="3" s="1"/>
  <c r="G114" i="3" s="1"/>
  <c r="FD25" i="3"/>
  <c r="DO25" i="3" s="1"/>
  <c r="G87" i="3" s="1"/>
  <c r="FD35" i="3"/>
  <c r="DO35" i="3" s="1"/>
  <c r="G97" i="3" s="1"/>
  <c r="FD10" i="3"/>
  <c r="DO10" i="3" s="1"/>
  <c r="G72" i="3" s="1"/>
  <c r="FD47" i="3"/>
  <c r="DO47" i="3" s="1"/>
  <c r="G109" i="3" s="1"/>
  <c r="FD26" i="3"/>
  <c r="DO26" i="3" s="1"/>
  <c r="G88" i="3" s="1"/>
  <c r="DO8" i="3"/>
  <c r="G70" i="3" s="1"/>
  <c r="E68" i="3"/>
  <c r="E77" i="3"/>
  <c r="E72" i="3"/>
  <c r="E76" i="3"/>
  <c r="E80" i="3"/>
  <c r="G69" i="3" l="1"/>
  <c r="E81" i="3"/>
  <c r="E82" i="3" l="1"/>
  <c r="E83" i="3" l="1"/>
  <c r="E84" i="3" l="1"/>
  <c r="E85" i="3" l="1"/>
  <c r="E86" i="3" l="1"/>
  <c r="E87" i="3" l="1"/>
  <c r="E88" i="3" l="1"/>
  <c r="E89" i="3" l="1"/>
  <c r="Q325" i="3"/>
  <c r="S325" i="3"/>
  <c r="Q324" i="3"/>
  <c r="E90" i="3" l="1"/>
  <c r="GD232" i="3"/>
  <c r="GD245" i="3"/>
  <c r="GD215" i="3"/>
  <c r="GD196" i="3"/>
  <c r="GD223" i="3"/>
  <c r="GD211" i="3"/>
  <c r="GD190" i="3"/>
  <c r="GD217" i="3"/>
  <c r="GD221" i="3"/>
  <c r="GD216" i="3"/>
  <c r="GD243" i="3"/>
  <c r="GD199" i="3"/>
  <c r="GD225" i="3"/>
  <c r="GD236" i="3"/>
  <c r="GD240" i="3"/>
  <c r="GD189" i="3"/>
  <c r="GD218" i="3"/>
  <c r="GD233" i="3"/>
  <c r="GD242" i="3"/>
  <c r="GD206" i="3"/>
  <c r="GD241" i="3"/>
  <c r="GD195" i="3"/>
  <c r="GD204" i="3"/>
  <c r="GD191" i="3"/>
  <c r="S324" i="3"/>
  <c r="GD244" i="3"/>
  <c r="GD213" i="3"/>
  <c r="GD220" i="3"/>
  <c r="GD234" i="3"/>
  <c r="GD188" i="3"/>
  <c r="GD209" i="3"/>
  <c r="GD235" i="3"/>
  <c r="GD207" i="3"/>
  <c r="GD193" i="3"/>
  <c r="GD194" i="3"/>
  <c r="GD230" i="3"/>
  <c r="GD219" i="3"/>
  <c r="GD229" i="3"/>
  <c r="GD205" i="3"/>
  <c r="GD201" i="3"/>
  <c r="GD208" i="3"/>
  <c r="GD239" i="3"/>
  <c r="GD214" i="3"/>
  <c r="GD210" i="3"/>
  <c r="GD227" i="3"/>
  <c r="GD186" i="3"/>
  <c r="GD224" i="3"/>
  <c r="GD228" i="3"/>
  <c r="GD212" i="3"/>
  <c r="GD203" i="3"/>
  <c r="GD222" i="3"/>
  <c r="GD197" i="3"/>
  <c r="GD187" i="3"/>
  <c r="GD200" i="3"/>
  <c r="GD192" i="3"/>
  <c r="GD198" i="3"/>
  <c r="GD237" i="3"/>
  <c r="GD231" i="3"/>
  <c r="GD238" i="3"/>
  <c r="GD226" i="3"/>
  <c r="GD202" i="3"/>
  <c r="E91" i="3" l="1"/>
  <c r="E92" i="3" l="1"/>
  <c r="E93" i="3" l="1"/>
  <c r="E94" i="3" l="1"/>
  <c r="E95" i="3" l="1"/>
  <c r="E96" i="3" l="1"/>
  <c r="E97" i="3" l="1"/>
  <c r="E98" i="3" l="1"/>
  <c r="E99" i="3" l="1"/>
  <c r="E100" i="3" l="1"/>
  <c r="E101" i="3" l="1"/>
  <c r="E102" i="3" l="1"/>
  <c r="E103" i="3" l="1"/>
  <c r="E104" i="3" l="1"/>
  <c r="E105" i="3" l="1"/>
  <c r="E106" i="3" l="1"/>
  <c r="E107" i="3" l="1"/>
  <c r="E108" i="3" l="1"/>
  <c r="E109" i="3" l="1"/>
  <c r="E110" i="3" l="1"/>
  <c r="E111" i="3" l="1"/>
  <c r="E112" i="3" l="1"/>
  <c r="E113" i="3" l="1"/>
  <c r="E114" i="3" l="1"/>
  <c r="E115" i="3" l="1"/>
  <c r="E324" i="3" l="1"/>
  <c r="E325" i="3" l="1"/>
  <c r="X324" i="3" l="1"/>
  <c r="U324" i="3"/>
  <c r="X325" i="3" l="1"/>
  <c r="U325" i="3"/>
  <c r="Y324" i="3"/>
  <c r="Y325" i="3" l="1"/>
  <c r="EH183" i="3" l="1"/>
  <c r="EH157" i="3"/>
  <c r="EH139" i="3"/>
  <c r="EH131" i="3"/>
  <c r="EH129" i="3"/>
  <c r="EH113" i="3"/>
  <c r="EH105" i="3"/>
  <c r="EH93" i="3"/>
  <c r="EH179" i="3"/>
  <c r="EH163" i="3"/>
  <c r="EH161" i="3"/>
  <c r="EH155" i="3"/>
  <c r="EH101" i="3"/>
  <c r="EH91" i="3"/>
  <c r="K71" i="3" l="1"/>
  <c r="K212" i="3"/>
  <c r="M198" i="3"/>
  <c r="K73" i="3"/>
  <c r="K92" i="3"/>
  <c r="K72" i="3"/>
  <c r="K75" i="3"/>
  <c r="K74" i="3"/>
  <c r="K76" i="3"/>
  <c r="K78" i="3"/>
  <c r="K80" i="3"/>
  <c r="K82" i="3"/>
  <c r="K108" i="3"/>
  <c r="K77" i="3"/>
  <c r="K86" i="3"/>
  <c r="K88" i="3"/>
  <c r="K90" i="3"/>
  <c r="K96" i="3"/>
  <c r="K98" i="3"/>
  <c r="K102" i="3"/>
  <c r="K103" i="3"/>
  <c r="K116" i="3"/>
  <c r="K124" i="3"/>
  <c r="K128" i="3"/>
  <c r="K85" i="3"/>
  <c r="K126" i="3"/>
  <c r="K134" i="3"/>
  <c r="K113" i="3"/>
  <c r="K121" i="3"/>
  <c r="K125" i="3"/>
  <c r="K129" i="3"/>
  <c r="K133" i="3"/>
  <c r="K101" i="3"/>
  <c r="K132" i="3"/>
  <c r="K111" i="3"/>
  <c r="K131" i="3"/>
  <c r="K91" i="3"/>
  <c r="K84" i="3"/>
  <c r="K104" i="3"/>
  <c r="K81" i="3"/>
  <c r="K93" i="3"/>
  <c r="K110" i="3"/>
  <c r="K118" i="3"/>
  <c r="K122" i="3"/>
  <c r="K117" i="3"/>
  <c r="K83" i="3"/>
  <c r="K99" i="3"/>
  <c r="K105" i="3"/>
  <c r="K107" i="3"/>
  <c r="K138" i="3"/>
  <c r="K142" i="3"/>
  <c r="K150" i="3"/>
  <c r="K154" i="3"/>
  <c r="K158" i="3"/>
  <c r="K170" i="3"/>
  <c r="K174" i="3"/>
  <c r="K178" i="3"/>
  <c r="K182" i="3"/>
  <c r="K186" i="3"/>
  <c r="K145" i="3"/>
  <c r="K149" i="3"/>
  <c r="K159" i="3"/>
  <c r="K167" i="3"/>
  <c r="K175" i="3"/>
  <c r="K209" i="3"/>
  <c r="K225" i="3"/>
  <c r="K157" i="3"/>
  <c r="K171" i="3"/>
  <c r="K200" i="3"/>
  <c r="K100" i="3"/>
  <c r="K112" i="3"/>
  <c r="K89" i="3"/>
  <c r="K115" i="3"/>
  <c r="K119" i="3"/>
  <c r="K123" i="3"/>
  <c r="K127" i="3"/>
  <c r="K135" i="3"/>
  <c r="K136" i="3"/>
  <c r="K148" i="3"/>
  <c r="K152" i="3"/>
  <c r="K156" i="3"/>
  <c r="K172" i="3"/>
  <c r="K180" i="3"/>
  <c r="K139" i="3"/>
  <c r="K147" i="3"/>
  <c r="K187" i="3"/>
  <c r="K191" i="3"/>
  <c r="K195" i="3"/>
  <c r="K203" i="3"/>
  <c r="K207" i="3"/>
  <c r="K215" i="3"/>
  <c r="K223" i="3"/>
  <c r="K227" i="3"/>
  <c r="K235" i="3"/>
  <c r="K153" i="3"/>
  <c r="K161" i="3"/>
  <c r="K169" i="3"/>
  <c r="K177" i="3"/>
  <c r="K190" i="3"/>
  <c r="K198" i="3"/>
  <c r="K202" i="3"/>
  <c r="K210" i="3"/>
  <c r="K218" i="3"/>
  <c r="K226" i="3"/>
  <c r="K234" i="3"/>
  <c r="K87" i="3"/>
  <c r="K95" i="3"/>
  <c r="K162" i="3"/>
  <c r="K166" i="3"/>
  <c r="K213" i="3"/>
  <c r="K217" i="3"/>
  <c r="K221" i="3"/>
  <c r="K229" i="3"/>
  <c r="K233" i="3"/>
  <c r="K137" i="3"/>
  <c r="K143" i="3"/>
  <c r="K192" i="3"/>
  <c r="K204" i="3"/>
  <c r="K208" i="3"/>
  <c r="K232" i="3"/>
  <c r="K244" i="3"/>
  <c r="K248" i="3"/>
  <c r="K237" i="3"/>
  <c r="K106" i="3"/>
  <c r="K114" i="3"/>
  <c r="K144" i="3"/>
  <c r="K176" i="3"/>
  <c r="K184" i="3"/>
  <c r="K155" i="3"/>
  <c r="K165" i="3"/>
  <c r="K173" i="3"/>
  <c r="K199" i="3"/>
  <c r="K185" i="3"/>
  <c r="K194" i="3"/>
  <c r="K214" i="3"/>
  <c r="K216" i="3"/>
  <c r="K222" i="3"/>
  <c r="K224" i="3"/>
  <c r="K238" i="3"/>
  <c r="K246" i="3"/>
  <c r="K120" i="3"/>
  <c r="K193" i="3"/>
  <c r="K201" i="3"/>
  <c r="K163" i="3"/>
  <c r="K188" i="3"/>
  <c r="K228" i="3"/>
  <c r="K240" i="3"/>
  <c r="K241" i="3"/>
  <c r="K245" i="3"/>
  <c r="K160" i="3"/>
  <c r="K168" i="3"/>
  <c r="K211" i="3"/>
  <c r="K219" i="3"/>
  <c r="K141" i="3"/>
  <c r="K220" i="3"/>
  <c r="K236" i="3"/>
  <c r="K242" i="3"/>
  <c r="K181" i="3"/>
  <c r="K239" i="3"/>
  <c r="K243" i="3"/>
  <c r="K247" i="3"/>
  <c r="K189" i="3"/>
  <c r="K205" i="3"/>
  <c r="K183" i="3"/>
  <c r="K196" i="3"/>
  <c r="K230" i="3"/>
  <c r="K70" i="3"/>
  <c r="K164" i="3"/>
  <c r="K231" i="3"/>
  <c r="K206" i="3"/>
  <c r="K130" i="3"/>
  <c r="K146" i="3"/>
  <c r="K197" i="3"/>
  <c r="K94" i="3"/>
  <c r="K97" i="3"/>
  <c r="K151" i="3"/>
  <c r="K79" i="3"/>
  <c r="K179" i="3"/>
  <c r="M194" i="3"/>
  <c r="M71" i="3"/>
  <c r="M72" i="3"/>
  <c r="M88" i="3"/>
  <c r="M90" i="3"/>
  <c r="M80" i="3"/>
  <c r="M94" i="3"/>
  <c r="M109" i="3"/>
  <c r="M113" i="3"/>
  <c r="M121" i="3"/>
  <c r="M114" i="3"/>
  <c r="M117" i="3"/>
  <c r="M77" i="3"/>
  <c r="M87" i="3"/>
  <c r="M95" i="3"/>
  <c r="M118" i="3"/>
  <c r="M84" i="3"/>
  <c r="M101" i="3"/>
  <c r="M86" i="3"/>
  <c r="M111" i="3"/>
  <c r="M133" i="3"/>
  <c r="M91" i="3"/>
  <c r="M98" i="3"/>
  <c r="M103" i="3"/>
  <c r="M105" i="3"/>
  <c r="M107" i="3"/>
  <c r="M119" i="3"/>
  <c r="M124" i="3"/>
  <c r="M127" i="3"/>
  <c r="M74" i="3"/>
  <c r="M93" i="3"/>
  <c r="M75" i="3"/>
  <c r="M134" i="3"/>
  <c r="M83" i="3"/>
  <c r="M115" i="3"/>
  <c r="M123" i="3"/>
  <c r="M131" i="3"/>
  <c r="M135" i="3"/>
  <c r="M146" i="3"/>
  <c r="M100" i="3"/>
  <c r="M138" i="3"/>
  <c r="M163" i="3"/>
  <c r="M168" i="3"/>
  <c r="M171" i="3"/>
  <c r="M177" i="3"/>
  <c r="M184" i="3"/>
  <c r="M186" i="3"/>
  <c r="M214" i="3"/>
  <c r="M221" i="3"/>
  <c r="M234" i="3"/>
  <c r="M150" i="3"/>
  <c r="M151" i="3"/>
  <c r="M166" i="3"/>
  <c r="M192" i="3"/>
  <c r="M197" i="3"/>
  <c r="M106" i="3"/>
  <c r="M97" i="3"/>
  <c r="M144" i="3"/>
  <c r="M161" i="3"/>
  <c r="M157" i="3"/>
  <c r="M200" i="3"/>
  <c r="M211" i="3"/>
  <c r="M219" i="3"/>
  <c r="M232" i="3"/>
  <c r="M79" i="3"/>
  <c r="M128" i="3"/>
  <c r="M181" i="3"/>
  <c r="M191" i="3"/>
  <c r="M195" i="3"/>
  <c r="M203" i="3"/>
  <c r="M206" i="3"/>
  <c r="M222" i="3"/>
  <c r="M73" i="3"/>
  <c r="M130" i="3"/>
  <c r="M89" i="3"/>
  <c r="M108" i="3"/>
  <c r="M120" i="3"/>
  <c r="M132" i="3"/>
  <c r="M170" i="3"/>
  <c r="M116" i="3"/>
  <c r="M162" i="3"/>
  <c r="M169" i="3"/>
  <c r="M210" i="3"/>
  <c r="M217" i="3"/>
  <c r="M225" i="3"/>
  <c r="M226" i="3"/>
  <c r="M229" i="3"/>
  <c r="M126" i="3"/>
  <c r="M137" i="3"/>
  <c r="M145" i="3"/>
  <c r="M179" i="3"/>
  <c r="M245" i="3"/>
  <c r="M112" i="3"/>
  <c r="M193" i="3"/>
  <c r="M235" i="3"/>
  <c r="M85" i="3"/>
  <c r="M122" i="3"/>
  <c r="M104" i="3"/>
  <c r="M136" i="3"/>
  <c r="M140" i="3"/>
  <c r="M173" i="3"/>
  <c r="M141" i="3"/>
  <c r="M224" i="3"/>
  <c r="M189" i="3"/>
  <c r="M201" i="3"/>
  <c r="M205" i="3"/>
  <c r="M209" i="3"/>
  <c r="M215" i="3"/>
  <c r="M220" i="3"/>
  <c r="M227" i="3"/>
  <c r="M240" i="3"/>
  <c r="M244" i="3"/>
  <c r="M159" i="3"/>
  <c r="M175" i="3"/>
  <c r="M199" i="3"/>
  <c r="M241" i="3"/>
  <c r="M129" i="3"/>
  <c r="M160" i="3"/>
  <c r="M182" i="3"/>
  <c r="M228" i="3"/>
  <c r="M247" i="3"/>
  <c r="M143" i="3"/>
  <c r="M187" i="3"/>
  <c r="M153" i="3"/>
  <c r="M164" i="3"/>
  <c r="M172" i="3"/>
  <c r="M185" i="3"/>
  <c r="M102" i="3"/>
  <c r="M180" i="3"/>
  <c r="M237" i="3"/>
  <c r="M243" i="3"/>
  <c r="M110" i="3"/>
  <c r="M152" i="3"/>
  <c r="M158" i="3"/>
  <c r="M155" i="3"/>
  <c r="M202" i="3"/>
  <c r="M204" i="3"/>
  <c r="M223" i="3"/>
  <c r="M236" i="3"/>
  <c r="M231" i="3"/>
  <c r="M142" i="3"/>
  <c r="M196" i="3"/>
  <c r="M239" i="3"/>
  <c r="M81" i="3"/>
  <c r="M248" i="3"/>
  <c r="M78" i="3"/>
  <c r="M139" i="3"/>
  <c r="M183" i="3"/>
  <c r="M76" i="3"/>
  <c r="M148" i="3"/>
  <c r="M190" i="3"/>
  <c r="M154" i="3"/>
  <c r="M92" i="3"/>
  <c r="M149" i="3"/>
  <c r="M178" i="3"/>
  <c r="M207" i="3"/>
  <c r="M230" i="3"/>
  <c r="M167" i="3"/>
  <c r="M242" i="3"/>
  <c r="M246" i="3"/>
  <c r="M174" i="3"/>
  <c r="M233" i="3"/>
  <c r="M96" i="3"/>
  <c r="M156" i="3"/>
  <c r="M208" i="3"/>
  <c r="M218" i="3"/>
  <c r="M165" i="3"/>
  <c r="M238" i="3"/>
  <c r="M147" i="3"/>
  <c r="M125" i="3"/>
  <c r="M82" i="3"/>
  <c r="M213" i="3"/>
  <c r="M216" i="3"/>
  <c r="M176" i="3"/>
  <c r="K109" i="3"/>
  <c r="GF149" i="3" l="1"/>
  <c r="M188" i="3"/>
  <c r="EM7" i="3"/>
  <c r="M212" i="3"/>
  <c r="M70" i="3"/>
  <c r="EM9" i="3"/>
  <c r="EM10" i="3"/>
  <c r="EM40" i="3"/>
  <c r="EM65" i="3"/>
  <c r="EM129" i="3"/>
  <c r="EM95" i="3"/>
  <c r="EM58" i="3"/>
  <c r="EM96" i="3"/>
  <c r="EM49" i="3"/>
  <c r="EM151" i="3"/>
  <c r="EM29" i="3"/>
  <c r="EM126" i="3"/>
  <c r="EM8" i="3"/>
  <c r="EM57" i="3"/>
  <c r="EM50" i="3"/>
  <c r="EM83" i="3"/>
  <c r="EM62" i="3"/>
  <c r="EM101" i="3"/>
  <c r="EM19" i="3"/>
  <c r="EM18" i="3"/>
  <c r="EM11" i="3"/>
  <c r="EM180" i="3"/>
  <c r="EM59" i="3"/>
  <c r="EM147" i="3"/>
  <c r="EM82" i="3"/>
  <c r="EM176" i="3"/>
  <c r="EM30" i="3"/>
  <c r="EM12" i="3"/>
  <c r="EM33" i="3"/>
  <c r="EM72" i="3"/>
  <c r="EM100" i="3"/>
  <c r="EM128" i="3"/>
  <c r="EM88" i="3"/>
  <c r="EM156" i="3"/>
  <c r="EM25" i="3"/>
  <c r="EM78" i="3"/>
  <c r="EM79" i="3"/>
  <c r="EM91" i="3"/>
  <c r="EM31" i="3"/>
  <c r="EM171" i="3"/>
  <c r="EM163" i="3"/>
  <c r="EM21" i="3"/>
  <c r="EM162" i="3"/>
  <c r="EM158" i="3"/>
  <c r="EM161" i="3"/>
  <c r="EM26" i="3"/>
  <c r="EM185" i="3"/>
  <c r="EM13" i="3"/>
  <c r="EM47" i="3"/>
  <c r="EM131" i="3"/>
  <c r="EM36" i="3"/>
  <c r="EM115" i="3"/>
  <c r="EM45" i="3"/>
  <c r="EM23" i="3"/>
  <c r="EM76" i="3"/>
  <c r="EM84" i="3"/>
  <c r="EM174" i="3"/>
  <c r="EM118" i="3"/>
  <c r="EM169" i="3"/>
  <c r="EM51" i="3"/>
  <c r="EM117" i="3"/>
  <c r="EM94" i="3"/>
  <c r="EM130" i="3"/>
  <c r="EM60" i="3"/>
  <c r="EM44" i="3"/>
  <c r="EM127" i="3"/>
  <c r="EM70" i="3"/>
  <c r="EM145" i="3"/>
  <c r="EM119" i="3"/>
  <c r="EM105" i="3"/>
  <c r="EM165" i="3"/>
  <c r="EM39" i="3"/>
  <c r="EM150" i="3"/>
  <c r="EM111" i="3"/>
  <c r="EM68" i="3"/>
  <c r="EM109" i="3"/>
  <c r="EM186" i="3"/>
  <c r="EM144" i="3"/>
  <c r="EM120" i="3"/>
  <c r="EM66" i="3"/>
  <c r="EM22" i="3"/>
  <c r="EM73" i="3"/>
  <c r="EM183" i="3"/>
  <c r="EM61" i="3"/>
  <c r="EM54" i="3"/>
  <c r="EM181" i="3"/>
  <c r="EM46" i="3"/>
  <c r="EM135" i="3"/>
  <c r="EM53" i="3"/>
  <c r="EM104" i="3"/>
  <c r="EM155" i="3"/>
  <c r="EM15" i="3"/>
  <c r="EM34" i="3"/>
  <c r="EM175" i="3"/>
  <c r="EM164" i="3"/>
  <c r="EM35" i="3"/>
  <c r="EM97" i="3"/>
  <c r="EM56" i="3"/>
  <c r="EM14" i="3"/>
  <c r="EM167" i="3"/>
  <c r="EM108" i="3"/>
  <c r="EM138" i="3"/>
  <c r="EM17" i="3"/>
  <c r="EM124" i="3"/>
  <c r="EM43" i="3"/>
  <c r="EM114" i="3"/>
  <c r="EM142" i="3"/>
  <c r="EM157" i="3"/>
  <c r="EM86" i="3"/>
  <c r="EM85" i="3"/>
  <c r="EM136" i="3"/>
  <c r="EM123" i="3"/>
  <c r="EM139" i="3"/>
  <c r="EM121" i="3"/>
  <c r="EM75" i="3"/>
  <c r="EM112" i="3"/>
  <c r="EM113" i="3"/>
  <c r="EM141" i="3"/>
  <c r="EM55" i="3"/>
  <c r="EM77" i="3"/>
  <c r="EM24" i="3"/>
  <c r="EM149" i="3"/>
  <c r="EM27" i="3"/>
  <c r="EM137" i="3"/>
  <c r="EM28" i="3"/>
  <c r="EM110" i="3"/>
  <c r="EM153" i="3"/>
  <c r="EM32" i="3"/>
  <c r="EM16" i="3"/>
  <c r="EM143" i="3"/>
  <c r="EM102" i="3"/>
  <c r="EM152" i="3"/>
  <c r="EM37" i="3"/>
  <c r="EM71" i="3"/>
  <c r="EM179" i="3"/>
  <c r="EM154" i="3"/>
  <c r="EM69" i="3"/>
  <c r="EM116" i="3"/>
  <c r="EM122" i="3"/>
  <c r="EM87" i="3"/>
  <c r="EM98" i="3"/>
  <c r="EM182" i="3"/>
  <c r="EM48" i="3"/>
  <c r="EM89" i="3"/>
  <c r="EM178" i="3"/>
  <c r="EM42" i="3"/>
  <c r="EM93" i="3"/>
  <c r="EM99" i="3"/>
  <c r="EM103" i="3"/>
  <c r="EM148" i="3"/>
  <c r="EM170" i="3"/>
  <c r="EM20" i="3"/>
  <c r="EM140" i="3"/>
  <c r="EM184" i="3"/>
  <c r="EM67" i="3"/>
  <c r="EM166" i="3"/>
  <c r="EM38" i="3"/>
  <c r="EM41" i="3"/>
  <c r="EJ41" i="3" s="1"/>
  <c r="EM92" i="3"/>
  <c r="EM172" i="3"/>
  <c r="EN7" i="3"/>
  <c r="EK7" i="3" s="1"/>
  <c r="EM177" i="3"/>
  <c r="EM106" i="3"/>
  <c r="EM173" i="3"/>
  <c r="EM107" i="3"/>
  <c r="EM81" i="3"/>
  <c r="EM90" i="3"/>
  <c r="EM125" i="3"/>
  <c r="EM146" i="3"/>
  <c r="EM64" i="3"/>
  <c r="EM74" i="3"/>
  <c r="EM159" i="3"/>
  <c r="EM63" i="3"/>
  <c r="EM80" i="3"/>
  <c r="EM168" i="3"/>
  <c r="EM160" i="3"/>
  <c r="EM52" i="3"/>
  <c r="EO7" i="3" l="1"/>
  <c r="GG6" i="3" s="1"/>
  <c r="EJ52" i="3"/>
  <c r="EJ80" i="3"/>
  <c r="EJ64" i="3"/>
  <c r="EJ81" i="3"/>
  <c r="EJ177" i="3"/>
  <c r="EJ38" i="3"/>
  <c r="EJ140" i="3"/>
  <c r="EJ103" i="3"/>
  <c r="EJ178" i="3"/>
  <c r="EJ98" i="3"/>
  <c r="EJ69" i="3"/>
  <c r="EJ37" i="3"/>
  <c r="EJ16" i="3"/>
  <c r="EJ28" i="3"/>
  <c r="EJ149" i="3"/>
  <c r="EJ141" i="3"/>
  <c r="EJ121" i="3"/>
  <c r="EJ85" i="3"/>
  <c r="EJ114" i="3"/>
  <c r="EJ138" i="3"/>
  <c r="EJ56" i="3"/>
  <c r="EJ175" i="3"/>
  <c r="EJ104" i="3"/>
  <c r="EJ181" i="3"/>
  <c r="EJ73" i="3"/>
  <c r="EJ120" i="3"/>
  <c r="EJ68" i="3"/>
  <c r="EJ165" i="3"/>
  <c r="EJ70" i="3"/>
  <c r="EJ130" i="3"/>
  <c r="EJ51" i="3"/>
  <c r="EJ84" i="3"/>
  <c r="EJ115" i="3"/>
  <c r="EJ13" i="3"/>
  <c r="EJ158" i="3"/>
  <c r="EJ171" i="3"/>
  <c r="EJ78" i="3"/>
  <c r="EJ128" i="3"/>
  <c r="EJ176" i="3"/>
  <c r="EJ180" i="3"/>
  <c r="EJ101" i="3"/>
  <c r="EJ57" i="3"/>
  <c r="EJ151" i="3"/>
  <c r="EJ95" i="3"/>
  <c r="EJ10" i="3"/>
  <c r="EJ74" i="3"/>
  <c r="EJ90" i="3"/>
  <c r="EJ148" i="3"/>
  <c r="EJ42" i="3"/>
  <c r="EJ116" i="3"/>
  <c r="EJ143" i="3"/>
  <c r="EJ27" i="3"/>
  <c r="EJ75" i="3"/>
  <c r="EJ142" i="3"/>
  <c r="EJ17" i="3"/>
  <c r="EJ14" i="3"/>
  <c r="EJ155" i="3"/>
  <c r="EJ46" i="3"/>
  <c r="EJ66" i="3"/>
  <c r="EJ145" i="3"/>
  <c r="EJ174" i="3"/>
  <c r="EJ45" i="3"/>
  <c r="EJ161" i="3"/>
  <c r="EJ79" i="3"/>
  <c r="EJ59" i="3"/>
  <c r="EJ19" i="3"/>
  <c r="EJ29" i="3"/>
  <c r="EJ160" i="3"/>
  <c r="EJ63" i="3"/>
  <c r="EJ146" i="3"/>
  <c r="EJ107" i="3"/>
  <c r="EJ172" i="3"/>
  <c r="EJ166" i="3"/>
  <c r="EJ20" i="3"/>
  <c r="EJ99" i="3"/>
  <c r="EJ89" i="3"/>
  <c r="EJ87" i="3"/>
  <c r="EJ154" i="3"/>
  <c r="EJ152" i="3"/>
  <c r="EJ32" i="3"/>
  <c r="EJ134" i="3"/>
  <c r="EJ24" i="3"/>
  <c r="EJ113" i="3"/>
  <c r="EJ139" i="3"/>
  <c r="EJ86" i="3"/>
  <c r="EJ43" i="3"/>
  <c r="EJ108" i="3"/>
  <c r="EJ97" i="3"/>
  <c r="EJ34" i="3"/>
  <c r="EJ53" i="3"/>
  <c r="EJ54" i="3"/>
  <c r="EJ132" i="3"/>
  <c r="EJ144" i="3"/>
  <c r="EJ111" i="3"/>
  <c r="EJ105" i="3"/>
  <c r="EJ127" i="3"/>
  <c r="EJ133" i="3"/>
  <c r="EJ169" i="3"/>
  <c r="EJ76" i="3"/>
  <c r="EJ36" i="3"/>
  <c r="EJ185" i="3"/>
  <c r="EJ162" i="3"/>
  <c r="EJ31" i="3"/>
  <c r="EJ25" i="3"/>
  <c r="EJ100" i="3"/>
  <c r="EJ33" i="3"/>
  <c r="EJ82" i="3"/>
  <c r="EJ11" i="3"/>
  <c r="EJ62" i="3"/>
  <c r="EJ8" i="3"/>
  <c r="EJ49" i="3"/>
  <c r="EJ129" i="3"/>
  <c r="EJ9" i="3"/>
  <c r="EJ7" i="3"/>
  <c r="EJ168" i="3"/>
  <c r="EJ106" i="3"/>
  <c r="EJ184" i="3"/>
  <c r="EJ182" i="3"/>
  <c r="EJ71" i="3"/>
  <c r="EJ110" i="3"/>
  <c r="EJ55" i="3"/>
  <c r="EJ136" i="3"/>
  <c r="EJ164" i="3"/>
  <c r="EJ183" i="3"/>
  <c r="EJ109" i="3"/>
  <c r="EJ39" i="3"/>
  <c r="EJ60" i="3"/>
  <c r="EJ117" i="3"/>
  <c r="EJ47" i="3"/>
  <c r="EJ163" i="3"/>
  <c r="EJ88" i="3"/>
  <c r="EJ30" i="3"/>
  <c r="EJ50" i="3"/>
  <c r="EJ58" i="3"/>
  <c r="EJ40" i="3"/>
  <c r="EJ159" i="3"/>
  <c r="EJ125" i="3"/>
  <c r="EJ173" i="3"/>
  <c r="EJ92" i="3"/>
  <c r="EJ67" i="3"/>
  <c r="EJ170" i="3"/>
  <c r="EJ93" i="3"/>
  <c r="EJ48" i="3"/>
  <c r="EJ122" i="3"/>
  <c r="EJ179" i="3"/>
  <c r="EJ102" i="3"/>
  <c r="EJ153" i="3"/>
  <c r="EJ137" i="3"/>
  <c r="EJ77" i="3"/>
  <c r="EJ112" i="3"/>
  <c r="EJ123" i="3"/>
  <c r="EJ157" i="3"/>
  <c r="EJ124" i="3"/>
  <c r="EJ167" i="3"/>
  <c r="EJ35" i="3"/>
  <c r="EJ15" i="3"/>
  <c r="EJ135" i="3"/>
  <c r="EJ61" i="3"/>
  <c r="EJ22" i="3"/>
  <c r="EJ186" i="3"/>
  <c r="EJ150" i="3"/>
  <c r="EJ119" i="3"/>
  <c r="EJ44" i="3"/>
  <c r="EJ94" i="3"/>
  <c r="EJ118" i="3"/>
  <c r="EJ23" i="3"/>
  <c r="EJ131" i="3"/>
  <c r="EJ26" i="3"/>
  <c r="EJ21" i="3"/>
  <c r="EJ91" i="3"/>
  <c r="EJ156" i="3"/>
  <c r="EJ72" i="3"/>
  <c r="EJ12" i="3"/>
  <c r="EJ147" i="3"/>
  <c r="EJ18" i="3"/>
  <c r="EJ83" i="3"/>
  <c r="EJ126" i="3"/>
  <c r="EJ96" i="3"/>
  <c r="EJ65" i="3"/>
  <c r="EN131" i="3"/>
  <c r="EN182" i="3"/>
  <c r="EK182" i="3" s="1"/>
  <c r="EN72" i="3"/>
  <c r="EK72" i="3" s="1"/>
  <c r="EN133" i="3"/>
  <c r="EN35" i="3"/>
  <c r="EN162" i="3"/>
  <c r="EK162" i="3" s="1"/>
  <c r="EN136" i="3"/>
  <c r="EK136" i="3" s="1"/>
  <c r="EN108" i="3"/>
  <c r="EN102" i="3"/>
  <c r="EK102" i="3" s="1"/>
  <c r="EN14" i="3"/>
  <c r="EK14" i="3" s="1"/>
  <c r="EN176" i="3"/>
  <c r="EK176" i="3" s="1"/>
  <c r="EN134" i="3"/>
  <c r="EN91" i="3"/>
  <c r="EK91" i="3" s="1"/>
  <c r="EN77" i="3"/>
  <c r="EN149" i="3"/>
  <c r="EK149" i="3" s="1"/>
  <c r="EN9" i="3"/>
  <c r="EO9" i="3" s="1"/>
  <c r="EN154" i="3"/>
  <c r="EK154" i="3" s="1"/>
  <c r="EN94" i="3"/>
  <c r="EK94" i="3" s="1"/>
  <c r="EN185" i="3"/>
  <c r="EN24" i="3"/>
  <c r="EK24" i="3" s="1"/>
  <c r="EN100" i="3"/>
  <c r="EN21" i="3"/>
  <c r="EO21" i="3" s="1"/>
  <c r="EN142" i="3"/>
  <c r="EK142" i="3" s="1"/>
  <c r="EN137" i="3"/>
  <c r="EK137" i="3" s="1"/>
  <c r="EN39" i="3"/>
  <c r="EK39" i="3" s="1"/>
  <c r="EN145" i="3"/>
  <c r="EK145" i="3" s="1"/>
  <c r="EN183" i="3"/>
  <c r="EK183" i="3" s="1"/>
  <c r="EN109" i="3"/>
  <c r="EN138" i="3"/>
  <c r="EN139" i="3"/>
  <c r="EK139" i="3" s="1"/>
  <c r="EN20" i="3"/>
  <c r="EK20" i="3" s="1"/>
  <c r="EN54" i="3"/>
  <c r="EN60" i="3"/>
  <c r="EN16" i="3"/>
  <c r="EK16" i="3" s="1"/>
  <c r="EN103" i="3"/>
  <c r="EN165" i="3"/>
  <c r="EN115" i="3"/>
  <c r="EK115" i="3" s="1"/>
  <c r="EN151" i="3"/>
  <c r="EK151" i="3" s="1"/>
  <c r="EN128" i="3"/>
  <c r="EN82" i="3"/>
  <c r="EN112" i="3"/>
  <c r="EK112" i="3" s="1"/>
  <c r="EN90" i="3"/>
  <c r="EK90" i="3" s="1"/>
  <c r="EN45" i="3"/>
  <c r="EK45" i="3" s="1"/>
  <c r="EN37" i="3"/>
  <c r="EN101" i="3"/>
  <c r="EK101" i="3" s="1"/>
  <c r="EN99" i="3"/>
  <c r="EN92" i="3"/>
  <c r="EN89" i="3"/>
  <c r="EK89" i="3" s="1"/>
  <c r="EN106" i="3"/>
  <c r="EK106" i="3" s="1"/>
  <c r="EN144" i="3"/>
  <c r="EN113" i="3"/>
  <c r="EN146" i="3"/>
  <c r="EK146" i="3" s="1"/>
  <c r="EN179" i="3"/>
  <c r="EN117" i="3"/>
  <c r="EK117" i="3" s="1"/>
  <c r="EN170" i="3"/>
  <c r="EN111" i="3"/>
  <c r="EK111" i="3" s="1"/>
  <c r="EN129" i="3"/>
  <c r="EK129" i="3" s="1"/>
  <c r="EN105" i="3"/>
  <c r="EN49" i="3"/>
  <c r="EN184" i="3"/>
  <c r="EN173" i="3"/>
  <c r="EK173" i="3" s="1"/>
  <c r="EN98" i="3"/>
  <c r="EN120" i="3"/>
  <c r="EN153" i="3"/>
  <c r="EN84" i="3"/>
  <c r="EN58" i="3"/>
  <c r="EK58" i="3" s="1"/>
  <c r="EN81" i="3"/>
  <c r="EN47" i="3"/>
  <c r="EN88" i="3"/>
  <c r="EN22" i="3"/>
  <c r="EO22" i="3" s="1"/>
  <c r="EN26" i="3"/>
  <c r="EK26" i="3" s="1"/>
  <c r="EN18" i="3"/>
  <c r="EK18" i="3" s="1"/>
  <c r="EN67" i="3"/>
  <c r="EK67" i="3" s="1"/>
  <c r="EN15" i="3"/>
  <c r="EK15" i="3" s="1"/>
  <c r="EN107" i="3"/>
  <c r="EN175" i="3"/>
  <c r="EN57" i="3"/>
  <c r="EN143" i="3"/>
  <c r="EN12" i="3"/>
  <c r="EK12" i="3" s="1"/>
  <c r="EN130" i="3"/>
  <c r="EN171" i="3"/>
  <c r="EN48" i="3"/>
  <c r="EN68" i="3"/>
  <c r="EK68" i="3" s="1"/>
  <c r="EN74" i="3"/>
  <c r="EN25" i="3"/>
  <c r="EK25" i="3" s="1"/>
  <c r="EN11" i="3"/>
  <c r="EK11" i="3" s="1"/>
  <c r="EN32" i="3"/>
  <c r="EK32" i="3" s="1"/>
  <c r="EN41" i="3"/>
  <c r="EN30" i="3"/>
  <c r="EK30" i="3" s="1"/>
  <c r="EN28" i="3"/>
  <c r="EN123" i="3"/>
  <c r="EN80" i="3"/>
  <c r="EN169" i="3"/>
  <c r="EK169" i="3" s="1"/>
  <c r="EN97" i="3"/>
  <c r="EK97" i="3" s="1"/>
  <c r="EN119" i="3"/>
  <c r="EK119" i="3" s="1"/>
  <c r="EN124" i="3"/>
  <c r="EN116" i="3"/>
  <c r="EK116" i="3" s="1"/>
  <c r="EN140" i="3"/>
  <c r="EK140" i="3" s="1"/>
  <c r="EN147" i="3"/>
  <c r="EK147" i="3" s="1"/>
  <c r="EN126" i="3"/>
  <c r="EK126" i="3" s="1"/>
  <c r="EN95" i="3"/>
  <c r="EN86" i="3"/>
  <c r="EN38" i="3"/>
  <c r="EN36" i="3"/>
  <c r="EK36" i="3" s="1"/>
  <c r="EN73" i="3"/>
  <c r="EK73" i="3" s="1"/>
  <c r="EN10" i="3"/>
  <c r="EK10" i="3" s="1"/>
  <c r="EN69" i="3"/>
  <c r="EK69" i="3" s="1"/>
  <c r="EN152" i="3"/>
  <c r="EN65" i="3"/>
  <c r="EK65" i="3" s="1"/>
  <c r="EN27" i="3"/>
  <c r="EK27" i="3" s="1"/>
  <c r="EN34" i="3"/>
  <c r="EN43" i="3"/>
  <c r="EK43" i="3" s="1"/>
  <c r="EN87" i="3"/>
  <c r="EN64" i="3"/>
  <c r="EK64" i="3" s="1"/>
  <c r="EN122" i="3"/>
  <c r="EK122" i="3" s="1"/>
  <c r="EN33" i="3"/>
  <c r="EK33" i="3" s="1"/>
  <c r="EN17" i="3"/>
  <c r="EO17" i="3" s="1"/>
  <c r="EN50" i="3"/>
  <c r="EN160" i="3"/>
  <c r="EK160" i="3" s="1"/>
  <c r="EN85" i="3"/>
  <c r="EN79" i="3"/>
  <c r="EK79" i="3" s="1"/>
  <c r="EN157" i="3"/>
  <c r="EK157" i="3" s="1"/>
  <c r="EN159" i="3"/>
  <c r="EK159" i="3" s="1"/>
  <c r="EN114" i="3"/>
  <c r="EK114" i="3" s="1"/>
  <c r="EN46" i="3"/>
  <c r="EK46" i="3" s="1"/>
  <c r="EN132" i="3"/>
  <c r="EK132" i="3" s="1"/>
  <c r="EN172" i="3"/>
  <c r="EK172" i="3" s="1"/>
  <c r="EN181" i="3"/>
  <c r="EN150" i="3"/>
  <c r="EN168" i="3"/>
  <c r="EN141" i="3"/>
  <c r="EN164" i="3"/>
  <c r="EN118" i="3"/>
  <c r="EN56" i="3"/>
  <c r="EK56" i="3" s="1"/>
  <c r="EN53" i="3"/>
  <c r="EK53" i="3" s="1"/>
  <c r="EN161" i="3"/>
  <c r="EN177" i="3"/>
  <c r="EK177" i="3" s="1"/>
  <c r="EN127" i="3"/>
  <c r="EK127" i="3" s="1"/>
  <c r="EN186" i="3"/>
  <c r="EK186" i="3" s="1"/>
  <c r="EN166" i="3"/>
  <c r="EN93" i="3"/>
  <c r="EK93" i="3" s="1"/>
  <c r="EN148" i="3"/>
  <c r="EK148" i="3" s="1"/>
  <c r="EN121" i="3"/>
  <c r="EK121" i="3" s="1"/>
  <c r="EN158" i="3"/>
  <c r="EK158" i="3" s="1"/>
  <c r="EN155" i="3"/>
  <c r="EN75" i="3"/>
  <c r="EN178" i="3"/>
  <c r="EK178" i="3" s="1"/>
  <c r="EN163" i="3"/>
  <c r="EK163" i="3" s="1"/>
  <c r="EN104" i="3"/>
  <c r="EK104" i="3" s="1"/>
  <c r="EN174" i="3"/>
  <c r="EN52" i="3"/>
  <c r="EK52" i="3" s="1"/>
  <c r="EN156" i="3"/>
  <c r="EK156" i="3" s="1"/>
  <c r="EN51" i="3"/>
  <c r="EK51" i="3" s="1"/>
  <c r="EN135" i="3"/>
  <c r="EN125" i="3"/>
  <c r="EN83" i="3"/>
  <c r="EK83" i="3" s="1"/>
  <c r="EN66" i="3"/>
  <c r="EN70" i="3"/>
  <c r="EK70" i="3" s="1"/>
  <c r="EN61" i="3"/>
  <c r="EK61" i="3" s="1"/>
  <c r="EN23" i="3"/>
  <c r="EK23" i="3" s="1"/>
  <c r="EN63" i="3"/>
  <c r="EN180" i="3"/>
  <c r="EN31" i="3"/>
  <c r="EN76" i="3"/>
  <c r="EN8" i="3"/>
  <c r="EK8" i="3" s="1"/>
  <c r="EN78" i="3"/>
  <c r="EK78" i="3" s="1"/>
  <c r="EN44" i="3"/>
  <c r="EN19" i="3"/>
  <c r="EK19" i="3" s="1"/>
  <c r="EN59" i="3"/>
  <c r="EN167" i="3"/>
  <c r="EK167" i="3" s="1"/>
  <c r="EN40" i="3"/>
  <c r="EN71" i="3"/>
  <c r="EN42" i="3"/>
  <c r="EN29" i="3"/>
  <c r="EN13" i="3"/>
  <c r="EO13" i="3" s="1"/>
  <c r="EN110" i="3"/>
  <c r="EK110" i="3" s="1"/>
  <c r="EN55" i="3"/>
  <c r="EN62" i="3"/>
  <c r="EN96" i="3"/>
  <c r="EK96" i="3" s="1"/>
  <c r="EO12" i="3" l="1"/>
  <c r="GG11" i="3" s="1"/>
  <c r="EO15" i="3"/>
  <c r="GG14" i="3" s="1"/>
  <c r="EO18" i="3"/>
  <c r="GG17" i="3" s="1"/>
  <c r="EO8" i="3"/>
  <c r="GG7" i="3" s="1"/>
  <c r="EO19" i="3"/>
  <c r="GG18" i="3" s="1"/>
  <c r="EO23" i="3"/>
  <c r="GG22" i="3" s="1"/>
  <c r="EO20" i="3"/>
  <c r="GG19" i="3" s="1"/>
  <c r="EO14" i="3"/>
  <c r="GG13" i="3" s="1"/>
  <c r="EO16" i="3"/>
  <c r="GG15" i="3" s="1"/>
  <c r="EO11" i="3"/>
  <c r="GG10" i="3" s="1"/>
  <c r="EO10" i="3"/>
  <c r="GG9" i="3" s="1"/>
  <c r="EK55" i="3"/>
  <c r="EK42" i="3"/>
  <c r="EK59" i="3"/>
  <c r="EK63" i="3"/>
  <c r="EK66" i="3"/>
  <c r="EK155" i="3"/>
  <c r="EK118" i="3"/>
  <c r="EK150" i="3"/>
  <c r="EK17" i="3"/>
  <c r="GG16" i="3"/>
  <c r="EK87" i="3"/>
  <c r="EK95" i="3"/>
  <c r="EK171" i="3"/>
  <c r="EK57" i="3"/>
  <c r="EK88" i="3"/>
  <c r="EK84" i="3"/>
  <c r="EK179" i="3"/>
  <c r="EK60" i="3"/>
  <c r="EK138" i="3"/>
  <c r="EK100" i="3"/>
  <c r="EK35" i="3"/>
  <c r="EK131" i="3"/>
  <c r="EK13" i="3"/>
  <c r="GG12" i="3"/>
  <c r="EK40" i="3"/>
  <c r="EK44" i="3"/>
  <c r="EK31" i="3"/>
  <c r="EK125" i="3"/>
  <c r="EK141" i="3"/>
  <c r="EK34" i="3"/>
  <c r="EK38" i="3"/>
  <c r="EK123" i="3"/>
  <c r="EK107" i="3"/>
  <c r="EK81" i="3"/>
  <c r="EK120" i="3"/>
  <c r="EK49" i="3"/>
  <c r="EK170" i="3"/>
  <c r="EK113" i="3"/>
  <c r="EK92" i="3"/>
  <c r="EK128" i="3"/>
  <c r="EK103" i="3"/>
  <c r="EK185" i="3"/>
  <c r="EK62" i="3"/>
  <c r="EK29" i="3"/>
  <c r="EK180" i="3"/>
  <c r="EK135" i="3"/>
  <c r="EK174" i="3"/>
  <c r="EK75" i="3"/>
  <c r="EK168" i="3"/>
  <c r="EK50" i="3"/>
  <c r="EK86" i="3"/>
  <c r="EK28" i="3"/>
  <c r="EK48" i="3"/>
  <c r="EK143" i="3"/>
  <c r="EK22" i="3"/>
  <c r="GG21" i="3"/>
  <c r="EK98" i="3"/>
  <c r="EK105" i="3"/>
  <c r="EK144" i="3"/>
  <c r="EK99" i="3"/>
  <c r="EK21" i="3"/>
  <c r="GG20" i="3"/>
  <c r="EK77" i="3"/>
  <c r="EK71" i="3"/>
  <c r="EK76" i="3"/>
  <c r="EK166" i="3"/>
  <c r="EK161" i="3"/>
  <c r="EK164" i="3"/>
  <c r="EK181" i="3"/>
  <c r="EK85" i="3"/>
  <c r="EK152" i="3"/>
  <c r="EK124" i="3"/>
  <c r="EK80" i="3"/>
  <c r="EK41" i="3"/>
  <c r="EK74" i="3"/>
  <c r="EK130" i="3"/>
  <c r="EK175" i="3"/>
  <c r="EK47" i="3"/>
  <c r="EK153" i="3"/>
  <c r="EK184" i="3"/>
  <c r="EK37" i="3"/>
  <c r="EK82" i="3"/>
  <c r="EK165" i="3"/>
  <c r="EK54" i="3"/>
  <c r="EK109" i="3"/>
  <c r="EK9" i="3"/>
  <c r="GG8" i="3"/>
  <c r="EK134" i="3"/>
  <c r="EK108" i="3"/>
  <c r="EK133" i="3"/>
  <c r="EL29" i="3" l="1"/>
  <c r="EL24" i="3"/>
  <c r="EI24" i="3" s="1"/>
  <c r="EL25" i="3"/>
  <c r="EL41" i="3"/>
  <c r="EI41" i="3" s="1"/>
  <c r="EL42" i="3"/>
  <c r="EI42" i="3" s="1"/>
  <c r="GF23" i="3"/>
  <c r="EL27" i="3"/>
  <c r="EL72" i="3"/>
  <c r="EL32" i="3"/>
  <c r="EL39" i="3"/>
  <c r="J86" i="3"/>
  <c r="EL30" i="3"/>
  <c r="EL51" i="3"/>
  <c r="EL70" i="3"/>
  <c r="EL45" i="3"/>
  <c r="EL78" i="3"/>
  <c r="EL36" i="3"/>
  <c r="EL61" i="3"/>
  <c r="EL67" i="3"/>
  <c r="EL52" i="3"/>
  <c r="EL53" i="3"/>
  <c r="EL56" i="3"/>
  <c r="EL26" i="3"/>
  <c r="EL68" i="3"/>
  <c r="EL73" i="3"/>
  <c r="EL28" i="3"/>
  <c r="EL180" i="3"/>
  <c r="EL63" i="3"/>
  <c r="EL66" i="3"/>
  <c r="EL170" i="3"/>
  <c r="EL150" i="3"/>
  <c r="EL126" i="3"/>
  <c r="EL110" i="3"/>
  <c r="EL33" i="3"/>
  <c r="EL161" i="3"/>
  <c r="EL143" i="3"/>
  <c r="EL120" i="3"/>
  <c r="EL97" i="3"/>
  <c r="EL93" i="3"/>
  <c r="EL34" i="3"/>
  <c r="EL185" i="3"/>
  <c r="EL160" i="3"/>
  <c r="EL65" i="3"/>
  <c r="EL37" i="3"/>
  <c r="EL182" i="3"/>
  <c r="EL178" i="3"/>
  <c r="EL162" i="3"/>
  <c r="EL158" i="3"/>
  <c r="EL142" i="3"/>
  <c r="EL134" i="3"/>
  <c r="EL118" i="3"/>
  <c r="EL102" i="3"/>
  <c r="EL48" i="3"/>
  <c r="EL31" i="3"/>
  <c r="EL152" i="3"/>
  <c r="EL129" i="3"/>
  <c r="EL111" i="3"/>
  <c r="EL85" i="3"/>
  <c r="EL57" i="3"/>
  <c r="EL169" i="3"/>
  <c r="EL151" i="3"/>
  <c r="EL44" i="3"/>
  <c r="EL176" i="3"/>
  <c r="EL60" i="3"/>
  <c r="EL106" i="3"/>
  <c r="EL159" i="3"/>
  <c r="EL113" i="3"/>
  <c r="EL89" i="3"/>
  <c r="EL153" i="3"/>
  <c r="EL128" i="3"/>
  <c r="EL105" i="3"/>
  <c r="EL87" i="3"/>
  <c r="EL76" i="3"/>
  <c r="EL172" i="3"/>
  <c r="EL49" i="3"/>
  <c r="EL131" i="3"/>
  <c r="EL96" i="3"/>
  <c r="EL54" i="3"/>
  <c r="EL141" i="3"/>
  <c r="EL90" i="3"/>
  <c r="EL46" i="3"/>
  <c r="EL77" i="3"/>
  <c r="EL35" i="3"/>
  <c r="EL74" i="3"/>
  <c r="EL186" i="3"/>
  <c r="EL166" i="3"/>
  <c r="EL146" i="3"/>
  <c r="EL122" i="3"/>
  <c r="EL43" i="3"/>
  <c r="EL136" i="3"/>
  <c r="EL177" i="3"/>
  <c r="EL119" i="3"/>
  <c r="EL95" i="3"/>
  <c r="EL79" i="3"/>
  <c r="EL55" i="3"/>
  <c r="EL156" i="3"/>
  <c r="EL117" i="3"/>
  <c r="EL155" i="3"/>
  <c r="EL116" i="3"/>
  <c r="EL140" i="3"/>
  <c r="EL62" i="3"/>
  <c r="EL114" i="3"/>
  <c r="EL127" i="3"/>
  <c r="EL135" i="3"/>
  <c r="EL91" i="3"/>
  <c r="EL99" i="3"/>
  <c r="EL148" i="3"/>
  <c r="EL183" i="3"/>
  <c r="EL125" i="3"/>
  <c r="EL173" i="3"/>
  <c r="EL101" i="3"/>
  <c r="EL171" i="3"/>
  <c r="EL100" i="3"/>
  <c r="EL64" i="3"/>
  <c r="EL40" i="3"/>
  <c r="EL174" i="3"/>
  <c r="EL154" i="3"/>
  <c r="EL130" i="3"/>
  <c r="EL181" i="3"/>
  <c r="EL145" i="3"/>
  <c r="EL103" i="3"/>
  <c r="EL124" i="3"/>
  <c r="EL175" i="3"/>
  <c r="EL82" i="3"/>
  <c r="EL92" i="3"/>
  <c r="EL132" i="3"/>
  <c r="EL108" i="3"/>
  <c r="EL184" i="3"/>
  <c r="EL69" i="3"/>
  <c r="EL168" i="3"/>
  <c r="EL167" i="3"/>
  <c r="EL144" i="3"/>
  <c r="EL112" i="3"/>
  <c r="EL138" i="3"/>
  <c r="EL179" i="3"/>
  <c r="EL149" i="3"/>
  <c r="EL109" i="3"/>
  <c r="EL38" i="3"/>
  <c r="EL147" i="3"/>
  <c r="EL139" i="3"/>
  <c r="EL115" i="3"/>
  <c r="EL71" i="3"/>
  <c r="EL157" i="3"/>
  <c r="EL98" i="3"/>
  <c r="EL50" i="3"/>
  <c r="EL104" i="3"/>
  <c r="EL81" i="3"/>
  <c r="EL58" i="3"/>
  <c r="EL47" i="3"/>
  <c r="EL137" i="3"/>
  <c r="EL121" i="3"/>
  <c r="EL83" i="3"/>
  <c r="EL75" i="3"/>
  <c r="EL163" i="3"/>
  <c r="EL88" i="3"/>
  <c r="EL123" i="3"/>
  <c r="EL133" i="3"/>
  <c r="EL80" i="3"/>
  <c r="EL86" i="3"/>
  <c r="EL165" i="3"/>
  <c r="EL84" i="3"/>
  <c r="EL164" i="3"/>
  <c r="EL94" i="3"/>
  <c r="EL107" i="3"/>
  <c r="EL59" i="3"/>
  <c r="EI107" i="3" l="1"/>
  <c r="EO107" i="3"/>
  <c r="EI165" i="3"/>
  <c r="EO165" i="3"/>
  <c r="EI121" i="3"/>
  <c r="EO121" i="3"/>
  <c r="EI81" i="3"/>
  <c r="EO81" i="3"/>
  <c r="EI59" i="3"/>
  <c r="EO59" i="3"/>
  <c r="GG58" i="3" s="1"/>
  <c r="EI94" i="3"/>
  <c r="EO94" i="3"/>
  <c r="EI133" i="3"/>
  <c r="EO133" i="3"/>
  <c r="EI75" i="3"/>
  <c r="EO75" i="3"/>
  <c r="GG74" i="3" s="1"/>
  <c r="EI47" i="3"/>
  <c r="EO47" i="3"/>
  <c r="GG46" i="3" s="1"/>
  <c r="EI50" i="3"/>
  <c r="EO50" i="3"/>
  <c r="GG49" i="3" s="1"/>
  <c r="EI71" i="3"/>
  <c r="EO71" i="3"/>
  <c r="GG70" i="3" s="1"/>
  <c r="EI115" i="3"/>
  <c r="EO115" i="3"/>
  <c r="EI109" i="3"/>
  <c r="EO109" i="3"/>
  <c r="EI138" i="3"/>
  <c r="EO138" i="3"/>
  <c r="EI168" i="3"/>
  <c r="EO168" i="3"/>
  <c r="EI108" i="3"/>
  <c r="EO108" i="3"/>
  <c r="EI124" i="3"/>
  <c r="EO124" i="3"/>
  <c r="EI145" i="3"/>
  <c r="EO145" i="3"/>
  <c r="EI174" i="3"/>
  <c r="EO174" i="3"/>
  <c r="EI148" i="3"/>
  <c r="EO148" i="3"/>
  <c r="EI114" i="3"/>
  <c r="EO114" i="3"/>
  <c r="EI116" i="3"/>
  <c r="EO116" i="3"/>
  <c r="EO41" i="3"/>
  <c r="GG40" i="3" s="1"/>
  <c r="EO136" i="3"/>
  <c r="EI136" i="3"/>
  <c r="EI166" i="3"/>
  <c r="EO166" i="3"/>
  <c r="EI77" i="3"/>
  <c r="EO77" i="3"/>
  <c r="GG76" i="3" s="1"/>
  <c r="EI54" i="3"/>
  <c r="EO54" i="3"/>
  <c r="GG53" i="3" s="1"/>
  <c r="EI49" i="3"/>
  <c r="EO49" i="3"/>
  <c r="GG48" i="3" s="1"/>
  <c r="EI128" i="3"/>
  <c r="EO128" i="3"/>
  <c r="EO89" i="3"/>
  <c r="EI89" i="3"/>
  <c r="EO29" i="3"/>
  <c r="GG28" i="3" s="1"/>
  <c r="EI29" i="3"/>
  <c r="EI151" i="3"/>
  <c r="EO151" i="3"/>
  <c r="EI85" i="3"/>
  <c r="EO85" i="3"/>
  <c r="EI31" i="3"/>
  <c r="EO31" i="3"/>
  <c r="GG30" i="3" s="1"/>
  <c r="EI134" i="3"/>
  <c r="EO134" i="3"/>
  <c r="EI178" i="3"/>
  <c r="EO178" i="3"/>
  <c r="EI160" i="3"/>
  <c r="EO160" i="3"/>
  <c r="EI143" i="3"/>
  <c r="EO143" i="3"/>
  <c r="EI126" i="3"/>
  <c r="EO126" i="3"/>
  <c r="EI63" i="3"/>
  <c r="EO63" i="3"/>
  <c r="GG62" i="3" s="1"/>
  <c r="EI68" i="3"/>
  <c r="EO68" i="3"/>
  <c r="GG67" i="3" s="1"/>
  <c r="EI52" i="3"/>
  <c r="EO52" i="3"/>
  <c r="GG51" i="3" s="1"/>
  <c r="EO36" i="3"/>
  <c r="GG35" i="3" s="1"/>
  <c r="EI36" i="3"/>
  <c r="EO70" i="3"/>
  <c r="GG69" i="3" s="1"/>
  <c r="EI70" i="3"/>
  <c r="EO27" i="3"/>
  <c r="GG26" i="3" s="1"/>
  <c r="EI27" i="3"/>
  <c r="EI164" i="3"/>
  <c r="EO164" i="3"/>
  <c r="EI84" i="3"/>
  <c r="EO84" i="3"/>
  <c r="EI86" i="3"/>
  <c r="EO86" i="3"/>
  <c r="EI123" i="3"/>
  <c r="EO123" i="3"/>
  <c r="EI83" i="3"/>
  <c r="EO83" i="3"/>
  <c r="EI58" i="3"/>
  <c r="EO58" i="3"/>
  <c r="GG57" i="3" s="1"/>
  <c r="EI98" i="3"/>
  <c r="EO98" i="3"/>
  <c r="EI139" i="3"/>
  <c r="EO139" i="3"/>
  <c r="EI149" i="3"/>
  <c r="EO149" i="3"/>
  <c r="EI112" i="3"/>
  <c r="EO112" i="3"/>
  <c r="EI69" i="3"/>
  <c r="EO69" i="3"/>
  <c r="GG68" i="3" s="1"/>
  <c r="EI132" i="3"/>
  <c r="EO132" i="3"/>
  <c r="EI92" i="3"/>
  <c r="EO92" i="3"/>
  <c r="EI181" i="3"/>
  <c r="EO181" i="3"/>
  <c r="EO40" i="3"/>
  <c r="GG39" i="3" s="1"/>
  <c r="EI40" i="3"/>
  <c r="EI100" i="3"/>
  <c r="EO100" i="3"/>
  <c r="EI125" i="3"/>
  <c r="EO125" i="3"/>
  <c r="EI99" i="3"/>
  <c r="EO99" i="3"/>
  <c r="EI91" i="3"/>
  <c r="EO91" i="3"/>
  <c r="EI62" i="3"/>
  <c r="EO62" i="3"/>
  <c r="GG61" i="3" s="1"/>
  <c r="EI155" i="3"/>
  <c r="EO155" i="3"/>
  <c r="EI55" i="3"/>
  <c r="EO55" i="3"/>
  <c r="GG54" i="3" s="1"/>
  <c r="EI95" i="3"/>
  <c r="EO95" i="3"/>
  <c r="EO43" i="3"/>
  <c r="GG42" i="3" s="1"/>
  <c r="EI43" i="3"/>
  <c r="EI186" i="3"/>
  <c r="EO186" i="3"/>
  <c r="EI46" i="3"/>
  <c r="EO46" i="3"/>
  <c r="GG45" i="3" s="1"/>
  <c r="EI96" i="3"/>
  <c r="EO96" i="3"/>
  <c r="EO172" i="3"/>
  <c r="EI172" i="3"/>
  <c r="EI153" i="3"/>
  <c r="EO153" i="3"/>
  <c r="EI113" i="3"/>
  <c r="EO113" i="3"/>
  <c r="EI60" i="3"/>
  <c r="EO60" i="3"/>
  <c r="GG59" i="3" s="1"/>
  <c r="EI169" i="3"/>
  <c r="EO169" i="3"/>
  <c r="EI111" i="3"/>
  <c r="EO111" i="3"/>
  <c r="EI48" i="3"/>
  <c r="EO48" i="3"/>
  <c r="GG47" i="3" s="1"/>
  <c r="EI142" i="3"/>
  <c r="EO142" i="3"/>
  <c r="EI182" i="3"/>
  <c r="EO182" i="3"/>
  <c r="EI185" i="3"/>
  <c r="EO185" i="3"/>
  <c r="EI93" i="3"/>
  <c r="EO93" i="3"/>
  <c r="EI161" i="3"/>
  <c r="EO161" i="3"/>
  <c r="EI150" i="3"/>
  <c r="EO150" i="3"/>
  <c r="EI180" i="3"/>
  <c r="EO180" i="3"/>
  <c r="EO26" i="3"/>
  <c r="GG25" i="3" s="1"/>
  <c r="EI26" i="3"/>
  <c r="EI67" i="3"/>
  <c r="EO67" i="3"/>
  <c r="GG66" i="3" s="1"/>
  <c r="EO78" i="3"/>
  <c r="GG77" i="3" s="1"/>
  <c r="EI78" i="3"/>
  <c r="EO51" i="3"/>
  <c r="GG50" i="3" s="1"/>
  <c r="EI51" i="3"/>
  <c r="EI39" i="3"/>
  <c r="EO39" i="3"/>
  <c r="GG38" i="3" s="1"/>
  <c r="EI88" i="3"/>
  <c r="EO88" i="3"/>
  <c r="EI147" i="3"/>
  <c r="EO147" i="3"/>
  <c r="EO179" i="3"/>
  <c r="EI179" i="3"/>
  <c r="EI144" i="3"/>
  <c r="EO144" i="3"/>
  <c r="EI184" i="3"/>
  <c r="EO184" i="3"/>
  <c r="EI82" i="3"/>
  <c r="EO82" i="3"/>
  <c r="EI130" i="3"/>
  <c r="EO130" i="3"/>
  <c r="EO64" i="3"/>
  <c r="GG63" i="3" s="1"/>
  <c r="EI64" i="3"/>
  <c r="EI171" i="3"/>
  <c r="EO171" i="3"/>
  <c r="EI101" i="3"/>
  <c r="EO101" i="3"/>
  <c r="EI135" i="3"/>
  <c r="EO135" i="3"/>
  <c r="EI117" i="3"/>
  <c r="EO117" i="3"/>
  <c r="EI119" i="3"/>
  <c r="EO119" i="3"/>
  <c r="EI122" i="3"/>
  <c r="EO122" i="3"/>
  <c r="EO74" i="3"/>
  <c r="GG73" i="3" s="1"/>
  <c r="EI74" i="3"/>
  <c r="EI90" i="3"/>
  <c r="EO90" i="3"/>
  <c r="EI131" i="3"/>
  <c r="EO131" i="3"/>
  <c r="EI76" i="3"/>
  <c r="EO76" i="3"/>
  <c r="GG75" i="3" s="1"/>
  <c r="EI87" i="3"/>
  <c r="EO87" i="3"/>
  <c r="EO159" i="3"/>
  <c r="EI159" i="3"/>
  <c r="EI176" i="3"/>
  <c r="EO176" i="3"/>
  <c r="EI57" i="3"/>
  <c r="EO57" i="3"/>
  <c r="GG56" i="3" s="1"/>
  <c r="EI129" i="3"/>
  <c r="EO129" i="3"/>
  <c r="EI102" i="3"/>
  <c r="EO102" i="3"/>
  <c r="EI158" i="3"/>
  <c r="EO158" i="3"/>
  <c r="EI37" i="3"/>
  <c r="EO37" i="3"/>
  <c r="GG36" i="3" s="1"/>
  <c r="EI34" i="3"/>
  <c r="EO34" i="3"/>
  <c r="GG33" i="3" s="1"/>
  <c r="EI97" i="3"/>
  <c r="EO97" i="3"/>
  <c r="EI33" i="3"/>
  <c r="EO33" i="3"/>
  <c r="GG32" i="3" s="1"/>
  <c r="EI170" i="3"/>
  <c r="EO170" i="3"/>
  <c r="EI28" i="3"/>
  <c r="EO28" i="3"/>
  <c r="GG27" i="3" s="1"/>
  <c r="EI56" i="3"/>
  <c r="EO56" i="3"/>
  <c r="GG55" i="3" s="1"/>
  <c r="EO45" i="3"/>
  <c r="GG44" i="3" s="1"/>
  <c r="EI45" i="3"/>
  <c r="EI30" i="3"/>
  <c r="EO30" i="3"/>
  <c r="GG29" i="3" s="1"/>
  <c r="EI32" i="3"/>
  <c r="EO32" i="3"/>
  <c r="GG31" i="3" s="1"/>
  <c r="EI80" i="3"/>
  <c r="EO80" i="3"/>
  <c r="EI163" i="3"/>
  <c r="EO163" i="3"/>
  <c r="EO137" i="3"/>
  <c r="EI137" i="3"/>
  <c r="EI104" i="3"/>
  <c r="EO104" i="3"/>
  <c r="EI157" i="3"/>
  <c r="EO157" i="3"/>
  <c r="EI38" i="3"/>
  <c r="EO38" i="3"/>
  <c r="GG37" i="3" s="1"/>
  <c r="EI167" i="3"/>
  <c r="EO167" i="3"/>
  <c r="EI175" i="3"/>
  <c r="EO175" i="3"/>
  <c r="EI103" i="3"/>
  <c r="EO103" i="3"/>
  <c r="EI154" i="3"/>
  <c r="EO154" i="3"/>
  <c r="EI173" i="3"/>
  <c r="EO173" i="3"/>
  <c r="EI183" i="3"/>
  <c r="EO183" i="3"/>
  <c r="EO42" i="3"/>
  <c r="GG41" i="3" s="1"/>
  <c r="EI127" i="3"/>
  <c r="EO127" i="3"/>
  <c r="EI140" i="3"/>
  <c r="EO140" i="3"/>
  <c r="EI156" i="3"/>
  <c r="EO156" i="3"/>
  <c r="EI79" i="3"/>
  <c r="EO79" i="3"/>
  <c r="EI177" i="3"/>
  <c r="EO177" i="3"/>
  <c r="EI146" i="3"/>
  <c r="EO146" i="3"/>
  <c r="EI35" i="3"/>
  <c r="EO35" i="3"/>
  <c r="GG34" i="3" s="1"/>
  <c r="EI141" i="3"/>
  <c r="EO141" i="3"/>
  <c r="EI105" i="3"/>
  <c r="EO105" i="3"/>
  <c r="EO106" i="3"/>
  <c r="EI106" i="3"/>
  <c r="EI44" i="3"/>
  <c r="EO44" i="3"/>
  <c r="GG43" i="3" s="1"/>
  <c r="EI152" i="3"/>
  <c r="EO152" i="3"/>
  <c r="EI118" i="3"/>
  <c r="EO118" i="3"/>
  <c r="EI162" i="3"/>
  <c r="EO162" i="3"/>
  <c r="EO65" i="3"/>
  <c r="GG64" i="3" s="1"/>
  <c r="EI65" i="3"/>
  <c r="EI120" i="3"/>
  <c r="EO120" i="3"/>
  <c r="EI110" i="3"/>
  <c r="EO110" i="3"/>
  <c r="EI66" i="3"/>
  <c r="EO66" i="3"/>
  <c r="GG65" i="3" s="1"/>
  <c r="EI73" i="3"/>
  <c r="EO73" i="3"/>
  <c r="GG72" i="3" s="1"/>
  <c r="EO53" i="3"/>
  <c r="GG52" i="3" s="1"/>
  <c r="EI53" i="3"/>
  <c r="EI61" i="3"/>
  <c r="EO61" i="3"/>
  <c r="GG60" i="3" s="1"/>
  <c r="EO24" i="3"/>
  <c r="GG23" i="3" s="1"/>
  <c r="EI25" i="3"/>
  <c r="EO25" i="3"/>
  <c r="GG24" i="3" s="1"/>
  <c r="EI72" i="3"/>
  <c r="EO72" i="3"/>
  <c r="GG71" i="3" s="1"/>
  <c r="GG78" i="3" l="1"/>
  <c r="GG79" i="3" s="1"/>
  <c r="GG80" i="3" s="1"/>
  <c r="GG81" i="3" s="1"/>
  <c r="GG82" i="3" s="1"/>
  <c r="GG83" i="3" s="1"/>
  <c r="GG84" i="3" s="1"/>
  <c r="GG85" i="3" s="1"/>
  <c r="GG86" i="3" s="1"/>
  <c r="GG87" i="3" s="1"/>
  <c r="GG88" i="3" s="1"/>
  <c r="GG89" i="3" s="1"/>
  <c r="GG90" i="3" s="1"/>
  <c r="GG91" i="3" s="1"/>
  <c r="GG92" i="3" s="1"/>
  <c r="GG93" i="3" s="1"/>
  <c r="GG94" i="3" s="1"/>
  <c r="GG95" i="3" s="1"/>
  <c r="GG96" i="3" s="1"/>
  <c r="GG97" i="3" s="1"/>
  <c r="GG98" i="3" s="1"/>
  <c r="GG99" i="3" s="1"/>
  <c r="GG100" i="3" s="1"/>
  <c r="GG101" i="3" s="1"/>
  <c r="GG102" i="3" s="1"/>
  <c r="GG103" i="3" s="1"/>
  <c r="GG104" i="3" s="1"/>
  <c r="GG105" i="3" s="1"/>
  <c r="GG106" i="3" s="1"/>
  <c r="GG107" i="3" s="1"/>
  <c r="GG108" i="3" s="1"/>
  <c r="GG109" i="3" s="1"/>
  <c r="GG110" i="3" s="1"/>
  <c r="GG111" i="3" s="1"/>
  <c r="GG112" i="3" s="1"/>
  <c r="GG113" i="3" s="1"/>
  <c r="GG114" i="3" s="1"/>
  <c r="GG115" i="3" s="1"/>
  <c r="GG116" i="3" s="1"/>
  <c r="GG117" i="3" s="1"/>
  <c r="GG118" i="3" s="1"/>
  <c r="GG119" i="3" s="1"/>
  <c r="GG120" i="3" s="1"/>
  <c r="GG121" i="3" s="1"/>
  <c r="GG122" i="3" s="1"/>
  <c r="GG123" i="3" s="1"/>
  <c r="GG124" i="3" s="1"/>
  <c r="GG125" i="3" s="1"/>
  <c r="GG126" i="3" s="1"/>
  <c r="GG127" i="3" s="1"/>
  <c r="GG128" i="3" s="1"/>
  <c r="GG129" i="3" s="1"/>
  <c r="GG130" i="3" s="1"/>
  <c r="GG131" i="3" s="1"/>
  <c r="GG132" i="3" s="1"/>
  <c r="GG133" i="3" s="1"/>
  <c r="GG134" i="3" s="1"/>
  <c r="GG135" i="3" s="1"/>
  <c r="GG136" i="3" s="1"/>
  <c r="GG137" i="3" s="1"/>
  <c r="GG138" i="3" s="1"/>
  <c r="GG139" i="3" s="1"/>
  <c r="GG140" i="3" s="1"/>
  <c r="GG141" i="3" s="1"/>
  <c r="GG142" i="3" s="1"/>
  <c r="GG143" i="3" s="1"/>
  <c r="GG144" i="3" s="1"/>
  <c r="GG145" i="3" s="1"/>
  <c r="GG146" i="3" s="1"/>
  <c r="GG147" i="3" s="1"/>
  <c r="GG148" i="3" s="1"/>
  <c r="GG149" i="3" s="1"/>
  <c r="GG150" i="3" s="1"/>
  <c r="GG151" i="3" s="1"/>
  <c r="GG152" i="3" s="1"/>
  <c r="GG153" i="3" s="1"/>
  <c r="GG154" i="3" s="1"/>
  <c r="GG155" i="3" s="1"/>
  <c r="GG156" i="3" s="1"/>
  <c r="GG157" i="3" s="1"/>
  <c r="GG158" i="3" s="1"/>
  <c r="GG159" i="3" s="1"/>
  <c r="GG160" i="3" s="1"/>
  <c r="GG161" i="3" s="1"/>
  <c r="GG162" i="3" s="1"/>
  <c r="GG163" i="3" s="1"/>
  <c r="GG164" i="3" s="1"/>
  <c r="GG165" i="3" s="1"/>
  <c r="GG166" i="3" s="1"/>
  <c r="GG167" i="3" s="1"/>
  <c r="GG168" i="3" s="1"/>
  <c r="GG169" i="3" s="1"/>
  <c r="GG170" i="3" s="1"/>
  <c r="GG171" i="3" s="1"/>
  <c r="GG172" i="3" s="1"/>
  <c r="GG173" i="3" s="1"/>
  <c r="GG174" i="3" s="1"/>
  <c r="GG175" i="3" s="1"/>
  <c r="GG176" i="3" s="1"/>
  <c r="GG177" i="3" s="1"/>
  <c r="GG178" i="3" s="1"/>
  <c r="GG179" i="3" s="1"/>
  <c r="GG180" i="3" s="1"/>
  <c r="GG181" i="3" s="1"/>
  <c r="GG182" i="3" s="1"/>
  <c r="GG183" i="3" s="1"/>
  <c r="GG184" i="3" s="1"/>
  <c r="GG185" i="3" s="1"/>
  <c r="AV12" i="3" l="1"/>
  <c r="AV13" i="3"/>
  <c r="AV30" i="3"/>
  <c r="AY30" i="3" s="1"/>
  <c r="AX30" i="3" s="1"/>
  <c r="AV18" i="3"/>
  <c r="AY18" i="3" s="1"/>
  <c r="AX18" i="3" s="1"/>
  <c r="AV23" i="3"/>
  <c r="AY23" i="3" s="1"/>
  <c r="AX23" i="3" s="1"/>
  <c r="AV28" i="3"/>
  <c r="AY28" i="3" s="1"/>
  <c r="AX28" i="3" s="1"/>
  <c r="AV35" i="3"/>
  <c r="AY35" i="3" s="1"/>
  <c r="AX35" i="3" s="1"/>
  <c r="AV33" i="3"/>
  <c r="AY33" i="3" s="1"/>
  <c r="AX33" i="3" s="1"/>
  <c r="AV8" i="3"/>
  <c r="AV19" i="3"/>
  <c r="AY19" i="3" s="1"/>
  <c r="AX19" i="3" s="1"/>
  <c r="AV26" i="3"/>
  <c r="AY26" i="3" s="1"/>
  <c r="AX26" i="3" s="1"/>
  <c r="AV17" i="3"/>
  <c r="AY17" i="3" s="1"/>
  <c r="AX17" i="3" s="1"/>
  <c r="AV15" i="3"/>
  <c r="AV34" i="3"/>
  <c r="AY34" i="3" s="1"/>
  <c r="AX34" i="3" s="1"/>
  <c r="AV29" i="3"/>
  <c r="AY29" i="3" s="1"/>
  <c r="AX29" i="3" s="1"/>
  <c r="AV21" i="3"/>
  <c r="AY21" i="3" s="1"/>
  <c r="AX21" i="3" s="1"/>
  <c r="AV31" i="3" l="1"/>
  <c r="AY31" i="3" s="1"/>
  <c r="AX31" i="3" s="1"/>
  <c r="AV20" i="3"/>
  <c r="AY20" i="3" s="1"/>
  <c r="AX20" i="3" s="1"/>
  <c r="AV11" i="3"/>
  <c r="AV25" i="3"/>
  <c r="AY25" i="3" s="1"/>
  <c r="AX25" i="3" s="1"/>
  <c r="AV10" i="3"/>
  <c r="AV22" i="3"/>
  <c r="AY22" i="3" s="1"/>
  <c r="AX22" i="3" s="1"/>
  <c r="AV32" i="3"/>
  <c r="AY32" i="3" s="1"/>
  <c r="AX32" i="3" s="1"/>
  <c r="AV9" i="3"/>
  <c r="AV36" i="3"/>
  <c r="AY36" i="3" s="1"/>
  <c r="AX36" i="3" s="1"/>
  <c r="AV27" i="3"/>
  <c r="AY27" i="3" s="1"/>
  <c r="AX27" i="3" s="1"/>
  <c r="AV24" i="3"/>
  <c r="AY24" i="3" s="1"/>
  <c r="AX24" i="3" s="1"/>
  <c r="AV14" i="3"/>
  <c r="AV7" i="3"/>
  <c r="AV6" i="3"/>
  <c r="AS31" i="3"/>
  <c r="AU31" i="3" s="1"/>
  <c r="AT31" i="3" s="1"/>
  <c r="AS25" i="3" l="1"/>
  <c r="AU25" i="3" s="1"/>
  <c r="AT25" i="3" s="1"/>
  <c r="AS12" i="3"/>
  <c r="AU12" i="3" s="1"/>
  <c r="AT12" i="3" s="1"/>
  <c r="AS11" i="3"/>
  <c r="AU11" i="3" s="1"/>
  <c r="AT11" i="3" s="1"/>
  <c r="AS13" i="3"/>
  <c r="AU13" i="3" s="1"/>
  <c r="AT13" i="3" s="1"/>
  <c r="AU16" i="3"/>
  <c r="AT16" i="3" s="1"/>
  <c r="AS19" i="3"/>
  <c r="AU19" i="3" s="1"/>
  <c r="AT19" i="3" s="1"/>
  <c r="AS8" i="3"/>
  <c r="AU8" i="3" s="1"/>
  <c r="AT8" i="3" s="1"/>
  <c r="AS34" i="3"/>
  <c r="AU34" i="3" s="1"/>
  <c r="AT34" i="3" s="1"/>
  <c r="AS30" i="3"/>
  <c r="AU30" i="3" s="1"/>
  <c r="AT30" i="3" s="1"/>
  <c r="AS9" i="3"/>
  <c r="AU9" i="3" s="1"/>
  <c r="AT9" i="3" s="1"/>
  <c r="AS32" i="3"/>
  <c r="AU32" i="3" s="1"/>
  <c r="AT32" i="3" s="1"/>
  <c r="AS36" i="3"/>
  <c r="AU36" i="3" s="1"/>
  <c r="AT36" i="3" s="1"/>
  <c r="AS20" i="3"/>
  <c r="AU20" i="3" s="1"/>
  <c r="AT20" i="3" s="1"/>
  <c r="AS21" i="3"/>
  <c r="AU21" i="3" s="1"/>
  <c r="AT21" i="3" s="1"/>
  <c r="AS28" i="3"/>
  <c r="AU28" i="3" s="1"/>
  <c r="AT28" i="3" s="1"/>
  <c r="AS27" i="3"/>
  <c r="AU27" i="3" s="1"/>
  <c r="AT27" i="3" s="1"/>
  <c r="AS22" i="3"/>
  <c r="AU22" i="3" s="1"/>
  <c r="AT22" i="3" s="1"/>
  <c r="AS14" i="3"/>
  <c r="AU14" i="3" s="1"/>
  <c r="AT14" i="3" s="1"/>
  <c r="AS6" i="3"/>
  <c r="AU6" i="3" s="1"/>
  <c r="AT6" i="3" s="1"/>
  <c r="AS15" i="3"/>
  <c r="AU15" i="3" s="1"/>
  <c r="AT15" i="3" s="1"/>
  <c r="AS7" i="3"/>
  <c r="AU7" i="3" s="1"/>
  <c r="AT7" i="3" s="1"/>
  <c r="AS23" i="3"/>
  <c r="AU23" i="3" s="1"/>
  <c r="AT23" i="3" s="1"/>
  <c r="AS35" i="3"/>
  <c r="AU35" i="3" s="1"/>
  <c r="AT35" i="3" s="1"/>
  <c r="AS18" i="3"/>
  <c r="AU18" i="3" s="1"/>
  <c r="AT18" i="3" s="1"/>
  <c r="AS24" i="3"/>
  <c r="AU24" i="3" s="1"/>
  <c r="AT24" i="3" s="1"/>
  <c r="AS29" i="3"/>
  <c r="AU29" i="3" s="1"/>
  <c r="AT29" i="3" s="1"/>
  <c r="AS17" i="3"/>
  <c r="AU17" i="3" s="1"/>
  <c r="AT17" i="3" s="1"/>
  <c r="AS10" i="3"/>
  <c r="AU10" i="3" s="1"/>
  <c r="AT10" i="3" s="1"/>
  <c r="AS26" i="3"/>
  <c r="AU26" i="3" s="1"/>
  <c r="AT26" i="3" s="1"/>
  <c r="AS33" i="3"/>
  <c r="AU33" i="3" s="1"/>
  <c r="AT33" i="3" s="1"/>
  <c r="AQ3" i="3" l="1"/>
  <c r="AO16" i="3" l="1"/>
  <c r="AM37" i="3"/>
  <c r="AL38" i="3"/>
  <c r="AO39" i="3"/>
  <c r="AN40" i="3"/>
  <c r="AM41" i="3"/>
  <c r="AL42" i="3"/>
  <c r="AO43" i="3"/>
  <c r="AN44" i="3"/>
  <c r="AM45" i="3"/>
  <c r="AL46" i="3"/>
  <c r="AN37" i="3"/>
  <c r="AM38" i="3"/>
  <c r="AL39" i="3"/>
  <c r="AO40" i="3"/>
  <c r="AN41" i="3"/>
  <c r="AM42" i="3"/>
  <c r="AL43" i="3"/>
  <c r="AO44" i="3"/>
  <c r="AN45" i="3"/>
  <c r="AM46" i="3"/>
  <c r="AN38" i="3"/>
  <c r="AO41" i="3"/>
  <c r="AN42" i="3"/>
  <c r="AM43" i="3"/>
  <c r="AL44" i="3"/>
  <c r="AO45" i="3"/>
  <c r="AL37" i="3"/>
  <c r="AO38" i="3"/>
  <c r="AM40" i="3"/>
  <c r="AL41" i="3"/>
  <c r="AO42" i="3"/>
  <c r="AN43" i="3"/>
  <c r="AM44" i="3"/>
  <c r="AO37" i="3"/>
  <c r="AM39" i="3"/>
  <c r="AL40" i="3"/>
  <c r="AN46" i="3"/>
  <c r="AN39" i="3"/>
  <c r="AL45" i="3"/>
  <c r="AO46" i="3"/>
  <c r="AM6" i="3"/>
  <c r="AL17" i="3"/>
  <c r="AM15" i="3"/>
  <c r="AM17" i="3"/>
  <c r="AM10" i="3"/>
  <c r="AN17" i="3"/>
  <c r="AO6" i="3"/>
  <c r="AN19" i="3"/>
  <c r="AL32" i="3"/>
  <c r="AO35" i="3"/>
  <c r="AO12" i="3"/>
  <c r="AN34" i="3"/>
  <c r="AN36" i="3"/>
  <c r="AN13" i="3"/>
  <c r="AL14" i="3"/>
  <c r="AO31" i="3"/>
  <c r="AO29" i="3"/>
  <c r="AM25" i="3"/>
  <c r="AL6" i="3"/>
  <c r="AM27" i="3"/>
  <c r="AN18" i="3"/>
  <c r="AL35" i="3"/>
  <c r="AM11" i="3"/>
  <c r="AO36" i="3"/>
  <c r="AO33" i="3"/>
  <c r="AL18" i="3"/>
  <c r="AN21" i="3"/>
  <c r="AN28" i="3"/>
  <c r="AO14" i="3"/>
  <c r="AL22" i="3"/>
  <c r="AM14" i="3"/>
  <c r="AL7" i="3"/>
  <c r="AL23" i="3"/>
  <c r="AN31" i="3"/>
  <c r="AN8" i="3"/>
  <c r="AM24" i="3"/>
  <c r="AL33" i="3"/>
  <c r="AL20" i="3"/>
  <c r="AM16" i="3"/>
  <c r="AN9" i="3"/>
  <c r="AO32" i="3"/>
  <c r="AL10" i="3"/>
  <c r="AO25" i="3"/>
  <c r="AO30" i="3"/>
  <c r="AM35" i="3"/>
  <c r="AM8" i="3"/>
  <c r="AO27" i="3"/>
  <c r="AM26" i="3"/>
  <c r="AL27" i="3"/>
  <c r="AM12" i="3"/>
  <c r="AN26" i="3"/>
  <c r="AL12" i="3"/>
  <c r="AM19" i="3"/>
  <c r="AL34" i="3"/>
  <c r="AN14" i="3"/>
  <c r="AM34" i="3"/>
  <c r="AL8" i="3"/>
  <c r="AN33" i="3"/>
  <c r="AL31" i="3"/>
  <c r="AM13" i="3"/>
  <c r="AN27" i="3"/>
  <c r="AL21" i="3"/>
  <c r="AO13" i="3"/>
  <c r="AM20" i="3"/>
  <c r="AN24" i="3"/>
  <c r="AO26" i="3"/>
  <c r="AL26" i="3"/>
  <c r="AN22" i="3"/>
  <c r="AN6" i="3"/>
  <c r="AN15" i="3"/>
  <c r="AL16" i="3"/>
  <c r="AM21" i="3"/>
  <c r="AM30" i="3"/>
  <c r="AL36" i="3"/>
  <c r="AN25" i="3"/>
  <c r="AM32" i="3"/>
  <c r="AM9" i="3"/>
  <c r="AM18" i="3"/>
  <c r="AO22" i="3"/>
  <c r="AN29" i="3"/>
  <c r="AN11" i="3"/>
  <c r="AM33" i="3"/>
  <c r="AO11" i="3"/>
  <c r="AO20" i="3"/>
  <c r="AL9" i="3"/>
  <c r="AM23" i="3"/>
  <c r="AM28" i="3"/>
  <c r="AO21" i="3"/>
  <c r="AO9" i="3"/>
  <c r="AN10" i="3"/>
  <c r="AN35" i="3"/>
  <c r="AO8" i="3"/>
  <c r="AN20" i="3"/>
  <c r="AN12" i="3"/>
  <c r="AL19" i="3"/>
  <c r="AN30" i="3"/>
  <c r="AN23" i="3"/>
  <c r="AL13" i="3"/>
  <c r="AO17" i="3"/>
  <c r="AL24" i="3"/>
  <c r="AO23" i="3"/>
  <c r="AL25" i="3"/>
  <c r="AM22" i="3"/>
  <c r="AN32" i="3"/>
  <c r="AO34" i="3"/>
  <c r="AL15" i="3"/>
  <c r="AO15" i="3"/>
  <c r="AO24" i="3"/>
  <c r="AL11" i="3"/>
  <c r="AM31" i="3"/>
  <c r="AM36" i="3"/>
  <c r="AO10" i="3"/>
  <c r="AO19" i="3"/>
  <c r="AL29" i="3"/>
  <c r="AO28" i="3"/>
  <c r="AN7" i="3"/>
  <c r="AL28" i="3"/>
  <c r="AM7" i="3"/>
  <c r="AN16" i="3"/>
  <c r="AO18" i="3"/>
  <c r="AL30" i="3"/>
  <c r="AM29" i="3"/>
  <c r="AO7" i="3"/>
  <c r="BJ6" i="3" l="1"/>
  <c r="BG12" i="3" s="1"/>
  <c r="BH12" i="3" s="1"/>
  <c r="DF23" i="3"/>
  <c r="BK6" i="3"/>
  <c r="DG23" i="3" s="1"/>
  <c r="FB121" i="3" l="1"/>
  <c r="DN121" i="3" s="1"/>
  <c r="E183" i="3" s="1"/>
  <c r="FB54" i="3"/>
  <c r="DN54" i="3" s="1"/>
  <c r="E116" i="3" s="1"/>
  <c r="BG23" i="3"/>
  <c r="BH23" i="3" s="1"/>
  <c r="BG10" i="3"/>
  <c r="BI10" i="3" s="1"/>
  <c r="BL10" i="3" s="1"/>
  <c r="BN10" i="3" s="1"/>
  <c r="BO10" i="3" s="1"/>
  <c r="BG30" i="3"/>
  <c r="BG27" i="3"/>
  <c r="BG25" i="3"/>
  <c r="BG28" i="3"/>
  <c r="BG29" i="3"/>
  <c r="BG26" i="3"/>
  <c r="BG24" i="3"/>
  <c r="BG9" i="3"/>
  <c r="BH9" i="3" s="1"/>
  <c r="BG21" i="3"/>
  <c r="BH21" i="3" s="1"/>
  <c r="DH23" i="3"/>
  <c r="BG14" i="3"/>
  <c r="BH14" i="3" s="1"/>
  <c r="BG13" i="3"/>
  <c r="BH13" i="3" s="1"/>
  <c r="BG20" i="3"/>
  <c r="BH20" i="3" s="1"/>
  <c r="BG19" i="3"/>
  <c r="BH19" i="3" s="1"/>
  <c r="BG6" i="3"/>
  <c r="BH6" i="3" s="1"/>
  <c r="BG15" i="3"/>
  <c r="BI15" i="3" s="1"/>
  <c r="BL15" i="3" s="1"/>
  <c r="BN15" i="3" s="1"/>
  <c r="BO15" i="3" s="1"/>
  <c r="BG11" i="3"/>
  <c r="BH11" i="3" s="1"/>
  <c r="BG18" i="3"/>
  <c r="BH18" i="3" s="1"/>
  <c r="BG16" i="3"/>
  <c r="BG22" i="3"/>
  <c r="BH22" i="3" s="1"/>
  <c r="BG7" i="3"/>
  <c r="BI7" i="3" s="1"/>
  <c r="BL7" i="3" s="1"/>
  <c r="BN7" i="3" s="1"/>
  <c r="BO7" i="3" s="1"/>
  <c r="GS31" i="3"/>
  <c r="GZ31" i="3" s="1"/>
  <c r="GS32" i="3" s="1"/>
  <c r="GQ32" i="3" s="1"/>
  <c r="GR32" i="3" s="1"/>
  <c r="BG8" i="3"/>
  <c r="BH8" i="3" s="1"/>
  <c r="BG17" i="3"/>
  <c r="BI17" i="3" s="1"/>
  <c r="BL17" i="3" s="1"/>
  <c r="BN17" i="3" s="1"/>
  <c r="BO17" i="3" s="1"/>
  <c r="BI12" i="3"/>
  <c r="BL12" i="3" s="1"/>
  <c r="BM12" i="3" s="1"/>
  <c r="FB150" i="3"/>
  <c r="DN150" i="3" s="1"/>
  <c r="E212" i="3" s="1"/>
  <c r="FB130" i="3"/>
  <c r="DN130" i="3" s="1"/>
  <c r="E192" i="3" s="1"/>
  <c r="FB183" i="3"/>
  <c r="DN183" i="3" s="1"/>
  <c r="E245" i="3" s="1"/>
  <c r="FB102" i="3"/>
  <c r="DN102" i="3" s="1"/>
  <c r="E164" i="3" s="1"/>
  <c r="FB124" i="3"/>
  <c r="DN124" i="3" s="1"/>
  <c r="E186" i="3" s="1"/>
  <c r="FB158" i="3"/>
  <c r="DN158" i="3" s="1"/>
  <c r="E220" i="3" s="1"/>
  <c r="FB104" i="3"/>
  <c r="DN104" i="3" s="1"/>
  <c r="E166" i="3" s="1"/>
  <c r="FB57" i="3"/>
  <c r="DN57" i="3" s="1"/>
  <c r="E119" i="3" s="1"/>
  <c r="FB64" i="3"/>
  <c r="DN64" i="3" s="1"/>
  <c r="E126" i="3" s="1"/>
  <c r="FB62" i="3"/>
  <c r="DN62" i="3" s="1"/>
  <c r="E124" i="3" s="1"/>
  <c r="FB63" i="3"/>
  <c r="DN63" i="3" s="1"/>
  <c r="E125" i="3" s="1"/>
  <c r="FB58" i="3"/>
  <c r="DN58" i="3" s="1"/>
  <c r="E120" i="3" s="1"/>
  <c r="FB59" i="3"/>
  <c r="DN59" i="3" s="1"/>
  <c r="E121" i="3" s="1"/>
  <c r="FB56" i="3"/>
  <c r="DN56" i="3" s="1"/>
  <c r="E118" i="3" s="1"/>
  <c r="FB60" i="3"/>
  <c r="DN60" i="3" s="1"/>
  <c r="E122" i="3" s="1"/>
  <c r="FB61" i="3"/>
  <c r="DN61" i="3" s="1"/>
  <c r="E123" i="3" s="1"/>
  <c r="FB55" i="3"/>
  <c r="DN55" i="3" s="1"/>
  <c r="E117" i="3" s="1"/>
  <c r="FB131" i="3"/>
  <c r="DN131" i="3" s="1"/>
  <c r="E193" i="3" s="1"/>
  <c r="FB77" i="3"/>
  <c r="DN77" i="3" s="1"/>
  <c r="E139" i="3" s="1"/>
  <c r="FB171" i="3"/>
  <c r="DN171" i="3" s="1"/>
  <c r="E233" i="3" s="1"/>
  <c r="FB118" i="3"/>
  <c r="DN118" i="3" s="1"/>
  <c r="E180" i="3" s="1"/>
  <c r="FB108" i="3"/>
  <c r="DN108" i="3" s="1"/>
  <c r="E170" i="3" s="1"/>
  <c r="FB145" i="3"/>
  <c r="DN145" i="3" s="1"/>
  <c r="E207" i="3" s="1"/>
  <c r="FB87" i="3"/>
  <c r="DN87" i="3" s="1"/>
  <c r="E149" i="3" s="1"/>
  <c r="FB74" i="3"/>
  <c r="DN74" i="3" s="1"/>
  <c r="E136" i="3" s="1"/>
  <c r="FB110" i="3"/>
  <c r="DN110" i="3" s="1"/>
  <c r="E172" i="3" s="1"/>
  <c r="FB86" i="3"/>
  <c r="DN86" i="3" s="1"/>
  <c r="E148" i="3" s="1"/>
  <c r="FB157" i="3"/>
  <c r="DN157" i="3" s="1"/>
  <c r="E219" i="3" s="1"/>
  <c r="FB182" i="3"/>
  <c r="DN182" i="3" s="1"/>
  <c r="E244" i="3" s="1"/>
  <c r="FB126" i="3"/>
  <c r="DN126" i="3" s="1"/>
  <c r="E188" i="3" s="1"/>
  <c r="FB141" i="3"/>
  <c r="DN141" i="3" s="1"/>
  <c r="E203" i="3" s="1"/>
  <c r="FB162" i="3"/>
  <c r="DN162" i="3" s="1"/>
  <c r="E224" i="3" s="1"/>
  <c r="DF25" i="3"/>
  <c r="FB154" i="3"/>
  <c r="DN154" i="3" s="1"/>
  <c r="E216" i="3" s="1"/>
  <c r="FB136" i="3"/>
  <c r="DN136" i="3" s="1"/>
  <c r="E198" i="3" s="1"/>
  <c r="FB120" i="3"/>
  <c r="DN120" i="3" s="1"/>
  <c r="E182" i="3" s="1"/>
  <c r="FB114" i="3"/>
  <c r="DN114" i="3" s="1"/>
  <c r="E176" i="3" s="1"/>
  <c r="FB169" i="3"/>
  <c r="DN169" i="3" s="1"/>
  <c r="E231" i="3" s="1"/>
  <c r="FB173" i="3"/>
  <c r="DN173" i="3" s="1"/>
  <c r="E235" i="3" s="1"/>
  <c r="FB135" i="3"/>
  <c r="DN135" i="3" s="1"/>
  <c r="E197" i="3" s="1"/>
  <c r="FB100" i="3"/>
  <c r="DN100" i="3" s="1"/>
  <c r="E162" i="3" s="1"/>
  <c r="FB147" i="3"/>
  <c r="DN147" i="3" s="1"/>
  <c r="E209" i="3" s="1"/>
  <c r="FB142" i="3"/>
  <c r="DN142" i="3" s="1"/>
  <c r="E204" i="3" s="1"/>
  <c r="FB134" i="3"/>
  <c r="DN134" i="3" s="1"/>
  <c r="E196" i="3" s="1"/>
  <c r="FB139" i="3"/>
  <c r="DN139" i="3" s="1"/>
  <c r="E201" i="3" s="1"/>
  <c r="FB85" i="3"/>
  <c r="DN85" i="3" s="1"/>
  <c r="E147" i="3" s="1"/>
  <c r="FB93" i="3"/>
  <c r="DN93" i="3" s="1"/>
  <c r="E155" i="3" s="1"/>
  <c r="FB186" i="3"/>
  <c r="DN186" i="3" s="1"/>
  <c r="E248" i="3" s="1"/>
  <c r="FB113" i="3"/>
  <c r="DN113" i="3" s="1"/>
  <c r="E175" i="3" s="1"/>
  <c r="FB143" i="3"/>
  <c r="DN143" i="3" s="1"/>
  <c r="E205" i="3" s="1"/>
  <c r="FB161" i="3"/>
  <c r="DN161" i="3" s="1"/>
  <c r="E223" i="3" s="1"/>
  <c r="FB116" i="3"/>
  <c r="DN116" i="3" s="1"/>
  <c r="E178" i="3" s="1"/>
  <c r="FB166" i="3"/>
  <c r="DN166" i="3" s="1"/>
  <c r="E228" i="3" s="1"/>
  <c r="FB175" i="3"/>
  <c r="DN175" i="3" s="1"/>
  <c r="E237" i="3" s="1"/>
  <c r="FB152" i="3"/>
  <c r="DN152" i="3" s="1"/>
  <c r="E214" i="3" s="1"/>
  <c r="FB81" i="3"/>
  <c r="DN81" i="3" s="1"/>
  <c r="E143" i="3" s="1"/>
  <c r="FB78" i="3"/>
  <c r="DN78" i="3" s="1"/>
  <c r="E140" i="3" s="1"/>
  <c r="FB185" i="3"/>
  <c r="DN185" i="3" s="1"/>
  <c r="E247" i="3" s="1"/>
  <c r="FB103" i="3"/>
  <c r="DN103" i="3" s="1"/>
  <c r="E165" i="3" s="1"/>
  <c r="DK23" i="3"/>
  <c r="FB137" i="3"/>
  <c r="DN137" i="3" s="1"/>
  <c r="E199" i="3" s="1"/>
  <c r="FB96" i="3"/>
  <c r="DN96" i="3" s="1"/>
  <c r="E158" i="3" s="1"/>
  <c r="FB123" i="3"/>
  <c r="DN123" i="3" s="1"/>
  <c r="E185" i="3" s="1"/>
  <c r="FB168" i="3"/>
  <c r="DN168" i="3" s="1"/>
  <c r="E230" i="3" s="1"/>
  <c r="FB181" i="3"/>
  <c r="DN181" i="3" s="1"/>
  <c r="E243" i="3" s="1"/>
  <c r="FB91" i="3"/>
  <c r="DN91" i="3" s="1"/>
  <c r="E153" i="3" s="1"/>
  <c r="FB160" i="3"/>
  <c r="DN160" i="3" s="1"/>
  <c r="E222" i="3" s="1"/>
  <c r="FB107" i="3"/>
  <c r="DN107" i="3" s="1"/>
  <c r="E169" i="3" s="1"/>
  <c r="FB177" i="3"/>
  <c r="DN177" i="3" s="1"/>
  <c r="E239" i="3" s="1"/>
  <c r="FB101" i="3"/>
  <c r="DN101" i="3" s="1"/>
  <c r="E163" i="3" s="1"/>
  <c r="FB167" i="3"/>
  <c r="DN167" i="3" s="1"/>
  <c r="E229" i="3" s="1"/>
  <c r="FB84" i="3"/>
  <c r="DN84" i="3" s="1"/>
  <c r="E146" i="3" s="1"/>
  <c r="FB138" i="3"/>
  <c r="DN138" i="3" s="1"/>
  <c r="E200" i="3" s="1"/>
  <c r="FB105" i="3"/>
  <c r="DN105" i="3" s="1"/>
  <c r="E167" i="3" s="1"/>
  <c r="FB159" i="3"/>
  <c r="DN159" i="3" s="1"/>
  <c r="E221" i="3" s="1"/>
  <c r="FB144" i="3"/>
  <c r="DN144" i="3" s="1"/>
  <c r="E206" i="3" s="1"/>
  <c r="FB133" i="3"/>
  <c r="DN133" i="3" s="1"/>
  <c r="E195" i="3" s="1"/>
  <c r="FB122" i="3"/>
  <c r="DN122" i="3" s="1"/>
  <c r="E184" i="3" s="1"/>
  <c r="FB76" i="3"/>
  <c r="DN76" i="3" s="1"/>
  <c r="E138" i="3" s="1"/>
  <c r="FB151" i="3"/>
  <c r="DN151" i="3" s="1"/>
  <c r="E213" i="3" s="1"/>
  <c r="FB80" i="3"/>
  <c r="DN80" i="3" s="1"/>
  <c r="E142" i="3" s="1"/>
  <c r="FB119" i="3"/>
  <c r="DN119" i="3" s="1"/>
  <c r="E181" i="3" s="1"/>
  <c r="FB95" i="3"/>
  <c r="DN95" i="3" s="1"/>
  <c r="E157" i="3" s="1"/>
  <c r="FB164" i="3"/>
  <c r="DN164" i="3" s="1"/>
  <c r="E226" i="3" s="1"/>
  <c r="FB98" i="3"/>
  <c r="DN98" i="3" s="1"/>
  <c r="E160" i="3" s="1"/>
  <c r="FB155" i="3"/>
  <c r="DN155" i="3" s="1"/>
  <c r="E217" i="3" s="1"/>
  <c r="FB99" i="3"/>
  <c r="DN99" i="3" s="1"/>
  <c r="E161" i="3" s="1"/>
  <c r="FB156" i="3"/>
  <c r="DN156" i="3" s="1"/>
  <c r="E218" i="3" s="1"/>
  <c r="FB82" i="3"/>
  <c r="DN82" i="3" s="1"/>
  <c r="E144" i="3" s="1"/>
  <c r="FB163" i="3"/>
  <c r="DN163" i="3" s="1"/>
  <c r="E225" i="3" s="1"/>
  <c r="FB92" i="3"/>
  <c r="DN92" i="3" s="1"/>
  <c r="E154" i="3" s="1"/>
  <c r="FB172" i="3"/>
  <c r="DN172" i="3" s="1"/>
  <c r="E234" i="3" s="1"/>
  <c r="FB117" i="3"/>
  <c r="DN117" i="3" s="1"/>
  <c r="E179" i="3" s="1"/>
  <c r="FB127" i="3"/>
  <c r="DN127" i="3" s="1"/>
  <c r="E189" i="3" s="1"/>
  <c r="FB97" i="3"/>
  <c r="DN97" i="3" s="1"/>
  <c r="E159" i="3" s="1"/>
  <c r="FB140" i="3"/>
  <c r="DN140" i="3" s="1"/>
  <c r="E202" i="3" s="1"/>
  <c r="FB146" i="3"/>
  <c r="DN146" i="3" s="1"/>
  <c r="E208" i="3" s="1"/>
  <c r="FB109" i="3"/>
  <c r="DN109" i="3" s="1"/>
  <c r="E171" i="3" s="1"/>
  <c r="FB179" i="3"/>
  <c r="DN179" i="3" s="1"/>
  <c r="E241" i="3" s="1"/>
  <c r="FB128" i="3"/>
  <c r="DN128" i="3" s="1"/>
  <c r="E190" i="3" s="1"/>
  <c r="FB178" i="3"/>
  <c r="DN178" i="3" s="1"/>
  <c r="E240" i="3" s="1"/>
  <c r="FB94" i="3"/>
  <c r="DN94" i="3" s="1"/>
  <c r="E156" i="3" s="1"/>
  <c r="FB112" i="3"/>
  <c r="DN112" i="3" s="1"/>
  <c r="E174" i="3" s="1"/>
  <c r="FB132" i="3"/>
  <c r="DN132" i="3" s="1"/>
  <c r="E194" i="3" s="1"/>
  <c r="FB125" i="3"/>
  <c r="DN125" i="3" s="1"/>
  <c r="E187" i="3" s="1"/>
  <c r="FB165" i="3"/>
  <c r="DN165" i="3" s="1"/>
  <c r="E227" i="3" s="1"/>
  <c r="FB115" i="3"/>
  <c r="DN115" i="3" s="1"/>
  <c r="E177" i="3" s="1"/>
  <c r="FB75" i="3"/>
  <c r="DN75" i="3" s="1"/>
  <c r="E137" i="3" s="1"/>
  <c r="FB170" i="3"/>
  <c r="DN170" i="3" s="1"/>
  <c r="E232" i="3" s="1"/>
  <c r="FB176" i="3"/>
  <c r="DN176" i="3" s="1"/>
  <c r="E238" i="3" s="1"/>
  <c r="FB106" i="3"/>
  <c r="DN106" i="3" s="1"/>
  <c r="E168" i="3" s="1"/>
  <c r="FB88" i="3"/>
  <c r="DN88" i="3" s="1"/>
  <c r="E150" i="3" s="1"/>
  <c r="FB148" i="3"/>
  <c r="DN148" i="3" s="1"/>
  <c r="E210" i="3" s="1"/>
  <c r="FB180" i="3"/>
  <c r="DN180" i="3" s="1"/>
  <c r="E242" i="3" s="1"/>
  <c r="FB174" i="3"/>
  <c r="DN174" i="3" s="1"/>
  <c r="E236" i="3" s="1"/>
  <c r="FB83" i="3"/>
  <c r="DN83" i="3" s="1"/>
  <c r="E145" i="3" s="1"/>
  <c r="FB153" i="3"/>
  <c r="DN153" i="3" s="1"/>
  <c r="E215" i="3" s="1"/>
  <c r="FB129" i="3"/>
  <c r="DN129" i="3" s="1"/>
  <c r="E191" i="3" s="1"/>
  <c r="FB79" i="3"/>
  <c r="DN79" i="3" s="1"/>
  <c r="E141" i="3" s="1"/>
  <c r="FB89" i="3"/>
  <c r="DN89" i="3" s="1"/>
  <c r="E151" i="3" s="1"/>
  <c r="FB184" i="3"/>
  <c r="DN184" i="3" s="1"/>
  <c r="E246" i="3" s="1"/>
  <c r="FB90" i="3"/>
  <c r="DN90" i="3" s="1"/>
  <c r="E152" i="3" s="1"/>
  <c r="FB111" i="3"/>
  <c r="DN111" i="3" s="1"/>
  <c r="E173" i="3" s="1"/>
  <c r="FB149" i="3"/>
  <c r="DN149" i="3" s="1"/>
  <c r="E211" i="3" s="1"/>
  <c r="FB65" i="3"/>
  <c r="DN65" i="3" s="1"/>
  <c r="E127" i="3" s="1"/>
  <c r="FB72" i="3"/>
  <c r="DN72" i="3" s="1"/>
  <c r="E134" i="3" s="1"/>
  <c r="FB71" i="3"/>
  <c r="DN71" i="3" s="1"/>
  <c r="E133" i="3" s="1"/>
  <c r="FB70" i="3"/>
  <c r="DN70" i="3" s="1"/>
  <c r="E132" i="3" s="1"/>
  <c r="FB67" i="3"/>
  <c r="DN67" i="3" s="1"/>
  <c r="E129" i="3" s="1"/>
  <c r="FB66" i="3"/>
  <c r="DN66" i="3" s="1"/>
  <c r="E128" i="3" s="1"/>
  <c r="FB69" i="3"/>
  <c r="DN69" i="3" s="1"/>
  <c r="E131" i="3" s="1"/>
  <c r="FB73" i="3"/>
  <c r="DN73" i="3" s="1"/>
  <c r="E135" i="3" s="1"/>
  <c r="FB68" i="3"/>
  <c r="DN68" i="3" s="1"/>
  <c r="E130" i="3" s="1"/>
  <c r="BI14" i="3" l="1"/>
  <c r="BL14" i="3" s="1"/>
  <c r="BN14" i="3" s="1"/>
  <c r="BO14" i="3" s="1"/>
  <c r="BP14" i="3" s="1"/>
  <c r="BI6" i="3"/>
  <c r="BL6" i="3" s="1"/>
  <c r="BN6" i="3" s="1"/>
  <c r="BO6" i="3" s="1"/>
  <c r="BP6" i="3" s="1"/>
  <c r="BH15" i="3"/>
  <c r="BI23" i="3"/>
  <c r="BL23" i="3" s="1"/>
  <c r="BN23" i="3" s="1"/>
  <c r="BO23" i="3" s="1"/>
  <c r="BP32" i="3" s="1"/>
  <c r="GT32" i="3" s="1"/>
  <c r="BH32" i="3"/>
  <c r="GT30" i="3" s="1"/>
  <c r="BM10" i="3"/>
  <c r="FD82" i="3"/>
  <c r="DO82" i="3" s="1"/>
  <c r="G144" i="3" s="1"/>
  <c r="FD54" i="3"/>
  <c r="DO54" i="3" s="1"/>
  <c r="G116" i="3" s="1"/>
  <c r="BI11" i="3"/>
  <c r="BL11" i="3" s="1"/>
  <c r="BN11" i="3" s="1"/>
  <c r="BO11" i="3" s="1"/>
  <c r="BQ11" i="3" s="1"/>
  <c r="BR11" i="3" s="1"/>
  <c r="BI21" i="3"/>
  <c r="BL21" i="3" s="1"/>
  <c r="BM21" i="3" s="1"/>
  <c r="BM7" i="3"/>
  <c r="BH10" i="3"/>
  <c r="BI9" i="3"/>
  <c r="BL9" i="3" s="1"/>
  <c r="BM9" i="3" s="1"/>
  <c r="BG32" i="3"/>
  <c r="GU30" i="3" s="1"/>
  <c r="FD80" i="3"/>
  <c r="DO80" i="3" s="1"/>
  <c r="G142" i="3" s="1"/>
  <c r="BI13" i="3"/>
  <c r="BL13" i="3" s="1"/>
  <c r="BN13" i="3" s="1"/>
  <c r="BO13" i="3" s="1"/>
  <c r="BP13" i="3" s="1"/>
  <c r="BH25" i="3"/>
  <c r="BI25" i="3"/>
  <c r="BL25" i="3" s="1"/>
  <c r="BH27" i="3"/>
  <c r="BI27" i="3"/>
  <c r="BL27" i="3" s="1"/>
  <c r="BH29" i="3"/>
  <c r="BI29" i="3"/>
  <c r="BL29" i="3" s="1"/>
  <c r="BI30" i="3"/>
  <c r="BL30" i="3" s="1"/>
  <c r="BH30" i="3"/>
  <c r="BH24" i="3"/>
  <c r="BI24" i="3"/>
  <c r="BL24" i="3" s="1"/>
  <c r="BI26" i="3"/>
  <c r="BL26" i="3" s="1"/>
  <c r="BH26" i="3"/>
  <c r="GY32" i="3"/>
  <c r="BI28" i="3"/>
  <c r="BL28" i="3" s="1"/>
  <c r="BH28" i="3"/>
  <c r="BI8" i="3"/>
  <c r="BL8" i="3" s="1"/>
  <c r="BM8" i="3" s="1"/>
  <c r="BM17" i="3"/>
  <c r="BI20" i="3"/>
  <c r="BL20" i="3" s="1"/>
  <c r="GQ31" i="3"/>
  <c r="GR31" i="3" s="1"/>
  <c r="GX32" i="3"/>
  <c r="BM15" i="3"/>
  <c r="GZ32" i="3"/>
  <c r="GS33" i="3" s="1"/>
  <c r="FD165" i="3"/>
  <c r="DO165" i="3" s="1"/>
  <c r="G227" i="3" s="1"/>
  <c r="GX31" i="3"/>
  <c r="BH16" i="3"/>
  <c r="BI16" i="3"/>
  <c r="BL16" i="3" s="1"/>
  <c r="BI19" i="3"/>
  <c r="BL19" i="3" s="1"/>
  <c r="BN19" i="3" s="1"/>
  <c r="BO19" i="3" s="1"/>
  <c r="BP19" i="3" s="1"/>
  <c r="BI18" i="3"/>
  <c r="BL18" i="3" s="1"/>
  <c r="BM18" i="3" s="1"/>
  <c r="BN12" i="3"/>
  <c r="BO12" i="3" s="1"/>
  <c r="BP12" i="3" s="1"/>
  <c r="GY31" i="3"/>
  <c r="BH17" i="3"/>
  <c r="BH7" i="3"/>
  <c r="BG31" i="3"/>
  <c r="GV30" i="3" s="1"/>
  <c r="BI22" i="3"/>
  <c r="BL22" i="3" s="1"/>
  <c r="BN22" i="3" s="1"/>
  <c r="BO22" i="3" s="1"/>
  <c r="BP22" i="3" s="1"/>
  <c r="FD138" i="3"/>
  <c r="DO138" i="3" s="1"/>
  <c r="G200" i="3" s="1"/>
  <c r="FD139" i="3"/>
  <c r="DO139" i="3" s="1"/>
  <c r="G201" i="3" s="1"/>
  <c r="FD111" i="3"/>
  <c r="DO111" i="3" s="1"/>
  <c r="G173" i="3" s="1"/>
  <c r="FD166" i="3"/>
  <c r="DO166" i="3" s="1"/>
  <c r="G228" i="3" s="1"/>
  <c r="FD77" i="3"/>
  <c r="DO77" i="3" s="1"/>
  <c r="G139" i="3" s="1"/>
  <c r="FD135" i="3"/>
  <c r="DO135" i="3" s="1"/>
  <c r="G197" i="3" s="1"/>
  <c r="FD106" i="3"/>
  <c r="DO106" i="3" s="1"/>
  <c r="G168" i="3" s="1"/>
  <c r="FD85" i="3"/>
  <c r="DO85" i="3" s="1"/>
  <c r="G147" i="3" s="1"/>
  <c r="FD65" i="3"/>
  <c r="DO65" i="3" s="1"/>
  <c r="G127" i="3" s="1"/>
  <c r="FD168" i="3"/>
  <c r="DO168" i="3" s="1"/>
  <c r="G230" i="3" s="1"/>
  <c r="FD131" i="3"/>
  <c r="DO131" i="3" s="1"/>
  <c r="G193" i="3" s="1"/>
  <c r="FD185" i="3"/>
  <c r="DO185" i="3" s="1"/>
  <c r="G247" i="3" s="1"/>
  <c r="FD144" i="3"/>
  <c r="DO144" i="3" s="1"/>
  <c r="G206" i="3" s="1"/>
  <c r="FD184" i="3"/>
  <c r="DO184" i="3" s="1"/>
  <c r="G246" i="3" s="1"/>
  <c r="FD137" i="3"/>
  <c r="DO137" i="3" s="1"/>
  <c r="G199" i="3" s="1"/>
  <c r="FD103" i="3"/>
  <c r="DO103" i="3" s="1"/>
  <c r="G165" i="3" s="1"/>
  <c r="FD156" i="3"/>
  <c r="DO156" i="3" s="1"/>
  <c r="G218" i="3" s="1"/>
  <c r="FD78" i="3"/>
  <c r="DO78" i="3" s="1"/>
  <c r="G140" i="3" s="1"/>
  <c r="FD173" i="3"/>
  <c r="DO173" i="3" s="1"/>
  <c r="G235" i="3" s="1"/>
  <c r="FD117" i="3"/>
  <c r="DO117" i="3" s="1"/>
  <c r="G179" i="3" s="1"/>
  <c r="FD67" i="3"/>
  <c r="DO67" i="3" s="1"/>
  <c r="G129" i="3" s="1"/>
  <c r="FD174" i="3"/>
  <c r="DO174" i="3" s="1"/>
  <c r="G236" i="3" s="1"/>
  <c r="FD108" i="3"/>
  <c r="DO108" i="3" s="1"/>
  <c r="G170" i="3" s="1"/>
  <c r="FD100" i="3"/>
  <c r="DO100" i="3" s="1"/>
  <c r="G162" i="3" s="1"/>
  <c r="FD114" i="3"/>
  <c r="DO114" i="3" s="1"/>
  <c r="G176" i="3" s="1"/>
  <c r="FD81" i="3"/>
  <c r="DO81" i="3" s="1"/>
  <c r="G143" i="3" s="1"/>
  <c r="FD133" i="3"/>
  <c r="DO133" i="3" s="1"/>
  <c r="G195" i="3" s="1"/>
  <c r="FD72" i="3"/>
  <c r="DO72" i="3" s="1"/>
  <c r="G134" i="3" s="1"/>
  <c r="FD56" i="3"/>
  <c r="DO56" i="3" s="1"/>
  <c r="G118" i="3" s="1"/>
  <c r="FD63" i="3"/>
  <c r="DO63" i="3" s="1"/>
  <c r="G125" i="3" s="1"/>
  <c r="FD59" i="3"/>
  <c r="DO59" i="3" s="1"/>
  <c r="G121" i="3" s="1"/>
  <c r="FD55" i="3"/>
  <c r="DO55" i="3" s="1"/>
  <c r="G117" i="3" s="1"/>
  <c r="FD61" i="3"/>
  <c r="DO61" i="3" s="1"/>
  <c r="G123" i="3" s="1"/>
  <c r="FD64" i="3"/>
  <c r="DO64" i="3" s="1"/>
  <c r="G126" i="3" s="1"/>
  <c r="FD60" i="3"/>
  <c r="DO60" i="3" s="1"/>
  <c r="G122" i="3" s="1"/>
  <c r="FD58" i="3"/>
  <c r="DO58" i="3" s="1"/>
  <c r="G120" i="3" s="1"/>
  <c r="FD62" i="3"/>
  <c r="DO62" i="3" s="1"/>
  <c r="G124" i="3" s="1"/>
  <c r="FD57" i="3"/>
  <c r="DO57" i="3" s="1"/>
  <c r="G119" i="3" s="1"/>
  <c r="FD167" i="3"/>
  <c r="DO167" i="3" s="1"/>
  <c r="G229" i="3" s="1"/>
  <c r="FD105" i="3"/>
  <c r="DO105" i="3" s="1"/>
  <c r="G167" i="3" s="1"/>
  <c r="FD178" i="3"/>
  <c r="DO178" i="3" s="1"/>
  <c r="G240" i="3" s="1"/>
  <c r="FD129" i="3"/>
  <c r="DO129" i="3" s="1"/>
  <c r="G191" i="3" s="1"/>
  <c r="FD141" i="3"/>
  <c r="DO141" i="3" s="1"/>
  <c r="G203" i="3" s="1"/>
  <c r="FD75" i="3"/>
  <c r="DO75" i="3" s="1"/>
  <c r="G137" i="3" s="1"/>
  <c r="FD127" i="3"/>
  <c r="DO127" i="3" s="1"/>
  <c r="G189" i="3" s="1"/>
  <c r="FD163" i="3"/>
  <c r="DO163" i="3" s="1"/>
  <c r="G225" i="3" s="1"/>
  <c r="FD97" i="3"/>
  <c r="DO97" i="3" s="1"/>
  <c r="G159" i="3" s="1"/>
  <c r="FD92" i="3"/>
  <c r="DO92" i="3" s="1"/>
  <c r="G154" i="3" s="1"/>
  <c r="FD147" i="3"/>
  <c r="DO147" i="3" s="1"/>
  <c r="G209" i="3" s="1"/>
  <c r="FD186" i="3"/>
  <c r="DO186" i="3" s="1"/>
  <c r="G248" i="3" s="1"/>
  <c r="FD68" i="3"/>
  <c r="DO68" i="3" s="1"/>
  <c r="G130" i="3" s="1"/>
  <c r="FD66" i="3"/>
  <c r="DO66" i="3" s="1"/>
  <c r="G128" i="3" s="1"/>
  <c r="FD152" i="3"/>
  <c r="DO152" i="3" s="1"/>
  <c r="G214" i="3" s="1"/>
  <c r="FD107" i="3"/>
  <c r="DO107" i="3" s="1"/>
  <c r="G169" i="3" s="1"/>
  <c r="FD113" i="3"/>
  <c r="DO113" i="3" s="1"/>
  <c r="G175" i="3" s="1"/>
  <c r="FD119" i="3"/>
  <c r="DO119" i="3" s="1"/>
  <c r="G181" i="3" s="1"/>
  <c r="FD158" i="3"/>
  <c r="DO158" i="3" s="1"/>
  <c r="G220" i="3" s="1"/>
  <c r="FD157" i="3"/>
  <c r="DO157" i="3" s="1"/>
  <c r="G219" i="3" s="1"/>
  <c r="FD140" i="3"/>
  <c r="DO140" i="3" s="1"/>
  <c r="G202" i="3" s="1"/>
  <c r="FD146" i="3"/>
  <c r="DO146" i="3" s="1"/>
  <c r="G208" i="3" s="1"/>
  <c r="FD134" i="3"/>
  <c r="DO134" i="3" s="1"/>
  <c r="G196" i="3" s="1"/>
  <c r="FD172" i="3"/>
  <c r="DO172" i="3" s="1"/>
  <c r="G234" i="3" s="1"/>
  <c r="FD116" i="3"/>
  <c r="DO116" i="3" s="1"/>
  <c r="G178" i="3" s="1"/>
  <c r="FD99" i="3"/>
  <c r="DO99" i="3" s="1"/>
  <c r="G161" i="3" s="1"/>
  <c r="FD84" i="3"/>
  <c r="DO84" i="3" s="1"/>
  <c r="G146" i="3" s="1"/>
  <c r="FD181" i="3"/>
  <c r="DO181" i="3" s="1"/>
  <c r="G243" i="3" s="1"/>
  <c r="FD150" i="3"/>
  <c r="DO150" i="3" s="1"/>
  <c r="G212" i="3" s="1"/>
  <c r="FD122" i="3"/>
  <c r="DO122" i="3" s="1"/>
  <c r="G184" i="3" s="1"/>
  <c r="FD170" i="3"/>
  <c r="DO170" i="3" s="1"/>
  <c r="G232" i="3" s="1"/>
  <c r="DK25" i="3"/>
  <c r="FD79" i="3"/>
  <c r="DO79" i="3" s="1"/>
  <c r="G141" i="3" s="1"/>
  <c r="FD88" i="3"/>
  <c r="DO88" i="3" s="1"/>
  <c r="G150" i="3" s="1"/>
  <c r="FD83" i="3"/>
  <c r="DO83" i="3" s="1"/>
  <c r="G145" i="3" s="1"/>
  <c r="FD89" i="3"/>
  <c r="DO89" i="3" s="1"/>
  <c r="G151" i="3" s="1"/>
  <c r="FD175" i="3"/>
  <c r="DO175" i="3" s="1"/>
  <c r="G237" i="3" s="1"/>
  <c r="FD110" i="3"/>
  <c r="DO110" i="3" s="1"/>
  <c r="G172" i="3" s="1"/>
  <c r="FD149" i="3"/>
  <c r="DO149" i="3" s="1"/>
  <c r="G211" i="3" s="1"/>
  <c r="FD160" i="3"/>
  <c r="DO160" i="3" s="1"/>
  <c r="G222" i="3" s="1"/>
  <c r="FD162" i="3"/>
  <c r="DO162" i="3" s="1"/>
  <c r="G224" i="3" s="1"/>
  <c r="FD95" i="3"/>
  <c r="DO95" i="3" s="1"/>
  <c r="G157" i="3" s="1"/>
  <c r="FD91" i="3"/>
  <c r="DO91" i="3" s="1"/>
  <c r="G153" i="3" s="1"/>
  <c r="FD71" i="3"/>
  <c r="DO71" i="3" s="1"/>
  <c r="G133" i="3" s="1"/>
  <c r="FD69" i="3"/>
  <c r="DO69" i="3" s="1"/>
  <c r="G131" i="3" s="1"/>
  <c r="FD121" i="3"/>
  <c r="DO121" i="3" s="1"/>
  <c r="G183" i="3" s="1"/>
  <c r="FD171" i="3"/>
  <c r="DO171" i="3" s="1"/>
  <c r="G233" i="3" s="1"/>
  <c r="FD151" i="3"/>
  <c r="DO151" i="3" s="1"/>
  <c r="G213" i="3" s="1"/>
  <c r="FD125" i="3"/>
  <c r="DO125" i="3" s="1"/>
  <c r="G187" i="3" s="1"/>
  <c r="FD120" i="3"/>
  <c r="DO120" i="3" s="1"/>
  <c r="G182" i="3" s="1"/>
  <c r="FD74" i="3"/>
  <c r="DO74" i="3" s="1"/>
  <c r="G136" i="3" s="1"/>
  <c r="FD118" i="3"/>
  <c r="DO118" i="3" s="1"/>
  <c r="G180" i="3" s="1"/>
  <c r="FD164" i="3"/>
  <c r="DO164" i="3" s="1"/>
  <c r="G226" i="3" s="1"/>
  <c r="FD130" i="3"/>
  <c r="DO130" i="3" s="1"/>
  <c r="G192" i="3" s="1"/>
  <c r="FD93" i="3"/>
  <c r="DO93" i="3" s="1"/>
  <c r="G155" i="3" s="1"/>
  <c r="FD76" i="3"/>
  <c r="DO76" i="3" s="1"/>
  <c r="G138" i="3" s="1"/>
  <c r="FD115" i="3"/>
  <c r="DO115" i="3" s="1"/>
  <c r="G177" i="3" s="1"/>
  <c r="FD136" i="3"/>
  <c r="DO136" i="3" s="1"/>
  <c r="G198" i="3" s="1"/>
  <c r="FD159" i="3"/>
  <c r="DO159" i="3" s="1"/>
  <c r="G221" i="3" s="1"/>
  <c r="FD153" i="3"/>
  <c r="DO153" i="3" s="1"/>
  <c r="G215" i="3" s="1"/>
  <c r="FD102" i="3"/>
  <c r="DO102" i="3" s="1"/>
  <c r="G164" i="3" s="1"/>
  <c r="FD73" i="3"/>
  <c r="DO73" i="3" s="1"/>
  <c r="G135" i="3" s="1"/>
  <c r="FD177" i="3"/>
  <c r="DO177" i="3" s="1"/>
  <c r="G239" i="3" s="1"/>
  <c r="FD148" i="3"/>
  <c r="DO148" i="3" s="1"/>
  <c r="G210" i="3" s="1"/>
  <c r="FD169" i="3"/>
  <c r="DO169" i="3" s="1"/>
  <c r="G231" i="3" s="1"/>
  <c r="FD179" i="3"/>
  <c r="DO179" i="3" s="1"/>
  <c r="G241" i="3" s="1"/>
  <c r="FD123" i="3"/>
  <c r="DO123" i="3" s="1"/>
  <c r="G185" i="3" s="1"/>
  <c r="FD87" i="3"/>
  <c r="DO87" i="3" s="1"/>
  <c r="G149" i="3" s="1"/>
  <c r="FD155" i="3"/>
  <c r="DO155" i="3" s="1"/>
  <c r="G217" i="3" s="1"/>
  <c r="FD176" i="3"/>
  <c r="DO176" i="3" s="1"/>
  <c r="G238" i="3" s="1"/>
  <c r="FD143" i="3"/>
  <c r="DO143" i="3" s="1"/>
  <c r="G205" i="3" s="1"/>
  <c r="FD109" i="3"/>
  <c r="DO109" i="3" s="1"/>
  <c r="G171" i="3" s="1"/>
  <c r="FD124" i="3"/>
  <c r="DO124" i="3" s="1"/>
  <c r="G186" i="3" s="1"/>
  <c r="FD96" i="3"/>
  <c r="DO96" i="3" s="1"/>
  <c r="G158" i="3" s="1"/>
  <c r="FD161" i="3"/>
  <c r="DO161" i="3" s="1"/>
  <c r="G223" i="3" s="1"/>
  <c r="FD142" i="3"/>
  <c r="DO142" i="3" s="1"/>
  <c r="G204" i="3" s="1"/>
  <c r="FD126" i="3"/>
  <c r="DO126" i="3" s="1"/>
  <c r="G188" i="3" s="1"/>
  <c r="FD154" i="3"/>
  <c r="DO154" i="3" s="1"/>
  <c r="G216" i="3" s="1"/>
  <c r="FD145" i="3"/>
  <c r="DO145" i="3" s="1"/>
  <c r="G207" i="3" s="1"/>
  <c r="FD180" i="3"/>
  <c r="DO180" i="3" s="1"/>
  <c r="G242" i="3" s="1"/>
  <c r="FD98" i="3"/>
  <c r="DO98" i="3" s="1"/>
  <c r="G160" i="3" s="1"/>
  <c r="FD90" i="3"/>
  <c r="DO90" i="3" s="1"/>
  <c r="G152" i="3" s="1"/>
  <c r="FD86" i="3"/>
  <c r="DO86" i="3" s="1"/>
  <c r="G148" i="3" s="1"/>
  <c r="FD94" i="3"/>
  <c r="DO94" i="3" s="1"/>
  <c r="G156" i="3" s="1"/>
  <c r="FD182" i="3"/>
  <c r="DO182" i="3" s="1"/>
  <c r="G244" i="3" s="1"/>
  <c r="FD183" i="3"/>
  <c r="DO183" i="3" s="1"/>
  <c r="G245" i="3" s="1"/>
  <c r="FD128" i="3"/>
  <c r="DO128" i="3" s="1"/>
  <c r="G190" i="3" s="1"/>
  <c r="FD112" i="3"/>
  <c r="DO112" i="3" s="1"/>
  <c r="G174" i="3" s="1"/>
  <c r="FD132" i="3"/>
  <c r="DO132" i="3" s="1"/>
  <c r="G194" i="3" s="1"/>
  <c r="FD104" i="3"/>
  <c r="DO104" i="3" s="1"/>
  <c r="G166" i="3" s="1"/>
  <c r="FD101" i="3"/>
  <c r="DO101" i="3" s="1"/>
  <c r="G163" i="3" s="1"/>
  <c r="FD70" i="3"/>
  <c r="DO70" i="3" s="1"/>
  <c r="G132" i="3" s="1"/>
  <c r="BQ10" i="3"/>
  <c r="BR10" i="3" s="1"/>
  <c r="BP10" i="3"/>
  <c r="BQ15" i="3"/>
  <c r="BR15" i="3" s="1"/>
  <c r="BP15" i="3"/>
  <c r="BQ17" i="3"/>
  <c r="BR17" i="3" s="1"/>
  <c r="BP17" i="3"/>
  <c r="BQ7" i="3"/>
  <c r="BR7" i="3" s="1"/>
  <c r="BP7" i="3"/>
  <c r="BQ14" i="3" l="1"/>
  <c r="BR14" i="3" s="1"/>
  <c r="BT14" i="3" s="1"/>
  <c r="BU14" i="3" s="1"/>
  <c r="BM14" i="3"/>
  <c r="BQ6" i="3"/>
  <c r="BR6" i="3" s="1"/>
  <c r="BS6" i="3" s="1"/>
  <c r="BM6" i="3"/>
  <c r="BP23" i="3"/>
  <c r="BQ23" i="3"/>
  <c r="BR23" i="3" s="1"/>
  <c r="BR32" i="3" s="1"/>
  <c r="GU33" i="3" s="1"/>
  <c r="BM32" i="3"/>
  <c r="GT31" i="3" s="1"/>
  <c r="BO32" i="3"/>
  <c r="GU32" i="3" s="1"/>
  <c r="BM23" i="3"/>
  <c r="BL32" i="3"/>
  <c r="GU31" i="3" s="1"/>
  <c r="GZ33" i="3"/>
  <c r="BN21" i="3"/>
  <c r="BO21" i="3" s="1"/>
  <c r="BQ21" i="3" s="1"/>
  <c r="BR21" i="3" s="1"/>
  <c r="BT21" i="3" s="1"/>
  <c r="BU21" i="3" s="1"/>
  <c r="BP11" i="3"/>
  <c r="BM11" i="3"/>
  <c r="BM13" i="3"/>
  <c r="BN9" i="3"/>
  <c r="BO9" i="3" s="1"/>
  <c r="BQ9" i="3" s="1"/>
  <c r="BR9" i="3" s="1"/>
  <c r="BT9" i="3" s="1"/>
  <c r="BU9" i="3" s="1"/>
  <c r="BQ13" i="3"/>
  <c r="BR13" i="3" s="1"/>
  <c r="BS13" i="3" s="1"/>
  <c r="BN26" i="3"/>
  <c r="BO26" i="3" s="1"/>
  <c r="BM26" i="3"/>
  <c r="BM28" i="3"/>
  <c r="BN28" i="3"/>
  <c r="BO28" i="3" s="1"/>
  <c r="BN24" i="3"/>
  <c r="BO24" i="3" s="1"/>
  <c r="BM24" i="3"/>
  <c r="BN29" i="3"/>
  <c r="BO29" i="3" s="1"/>
  <c r="BM29" i="3"/>
  <c r="BM25" i="3"/>
  <c r="BN25" i="3"/>
  <c r="BO25" i="3" s="1"/>
  <c r="BN27" i="3"/>
  <c r="BO27" i="3" s="1"/>
  <c r="BM27" i="3"/>
  <c r="BM30" i="3"/>
  <c r="BN30" i="3"/>
  <c r="BO30" i="3" s="1"/>
  <c r="BQ12" i="3"/>
  <c r="BR12" i="3" s="1"/>
  <c r="BS12" i="3" s="1"/>
  <c r="BN18" i="3"/>
  <c r="BO18" i="3" s="1"/>
  <c r="BQ18" i="3" s="1"/>
  <c r="BR18" i="3" s="1"/>
  <c r="BT18" i="3" s="1"/>
  <c r="BU18" i="3" s="1"/>
  <c r="BN8" i="3"/>
  <c r="BO8" i="3" s="1"/>
  <c r="BM19" i="3"/>
  <c r="BQ19" i="3"/>
  <c r="BR19" i="3" s="1"/>
  <c r="BS19" i="3" s="1"/>
  <c r="BM22" i="3"/>
  <c r="BM20" i="3"/>
  <c r="BN20" i="3"/>
  <c r="BO20" i="3" s="1"/>
  <c r="BQ22" i="3"/>
  <c r="BR22" i="3" s="1"/>
  <c r="BT22" i="3" s="1"/>
  <c r="BU22" i="3" s="1"/>
  <c r="GQ33" i="3"/>
  <c r="GR33" i="3" s="1"/>
  <c r="GX33" i="3"/>
  <c r="GY33" i="3"/>
  <c r="GS34" i="3"/>
  <c r="GX34" i="3" s="1"/>
  <c r="BN16" i="3"/>
  <c r="BO16" i="3" s="1"/>
  <c r="BM16" i="3"/>
  <c r="BH31" i="3"/>
  <c r="GW30" i="3" s="1"/>
  <c r="BL31" i="3"/>
  <c r="GV31" i="3" s="1"/>
  <c r="BT7" i="3"/>
  <c r="BU7" i="3" s="1"/>
  <c r="BS7" i="3"/>
  <c r="BT17" i="3"/>
  <c r="BU17" i="3" s="1"/>
  <c r="BS17" i="3"/>
  <c r="BS15" i="3"/>
  <c r="BT15" i="3"/>
  <c r="BU15" i="3" s="1"/>
  <c r="BT11" i="3"/>
  <c r="BU11" i="3" s="1"/>
  <c r="BS11" i="3"/>
  <c r="BS10" i="3"/>
  <c r="BT10" i="3"/>
  <c r="BU10" i="3" s="1"/>
  <c r="BS14" i="3" l="1"/>
  <c r="BT6" i="3"/>
  <c r="BU6" i="3" s="1"/>
  <c r="BV6" i="3" s="1"/>
  <c r="BT23" i="3"/>
  <c r="BU23" i="3" s="1"/>
  <c r="BV23" i="3" s="1"/>
  <c r="BS23" i="3"/>
  <c r="BS32" i="3"/>
  <c r="GT33" i="3" s="1"/>
  <c r="BS21" i="3"/>
  <c r="BP21" i="3"/>
  <c r="BT13" i="3"/>
  <c r="BU13" i="3" s="1"/>
  <c r="BW13" i="3" s="1"/>
  <c r="BX13" i="3" s="1"/>
  <c r="BS9" i="3"/>
  <c r="BP9" i="3"/>
  <c r="BQ27" i="3"/>
  <c r="BR27" i="3" s="1"/>
  <c r="BP27" i="3"/>
  <c r="BT12" i="3"/>
  <c r="BU12" i="3" s="1"/>
  <c r="BV12" i="3" s="1"/>
  <c r="BP25" i="3"/>
  <c r="BQ25" i="3"/>
  <c r="BR25" i="3" s="1"/>
  <c r="GY34" i="3"/>
  <c r="BQ24" i="3"/>
  <c r="BR24" i="3" s="1"/>
  <c r="BP24" i="3"/>
  <c r="BP26" i="3"/>
  <c r="BQ26" i="3"/>
  <c r="BR26" i="3" s="1"/>
  <c r="BP29" i="3"/>
  <c r="BQ29" i="3"/>
  <c r="BR29" i="3" s="1"/>
  <c r="BP30" i="3"/>
  <c r="BQ30" i="3"/>
  <c r="BR30" i="3" s="1"/>
  <c r="BP28" i="3"/>
  <c r="BQ28" i="3"/>
  <c r="BR28" i="3" s="1"/>
  <c r="BS18" i="3"/>
  <c r="BP18" i="3"/>
  <c r="BT19" i="3"/>
  <c r="BU19" i="3" s="1"/>
  <c r="BW19" i="3" s="1"/>
  <c r="BX19" i="3" s="1"/>
  <c r="BS22" i="3"/>
  <c r="BM31" i="3"/>
  <c r="GW31" i="3" s="1"/>
  <c r="BQ8" i="3"/>
  <c r="BR8" i="3" s="1"/>
  <c r="BP8" i="3"/>
  <c r="BQ20" i="3"/>
  <c r="BR20" i="3" s="1"/>
  <c r="BP20" i="3"/>
  <c r="BO31" i="3"/>
  <c r="GV32" i="3" s="1"/>
  <c r="GQ34" i="3"/>
  <c r="GR34" i="3" s="1"/>
  <c r="GS35" i="3"/>
  <c r="GT35" i="3" s="1"/>
  <c r="GZ34" i="3"/>
  <c r="BP16" i="3"/>
  <c r="BQ16" i="3"/>
  <c r="BR16" i="3" s="1"/>
  <c r="BW11" i="3"/>
  <c r="BX11" i="3" s="1"/>
  <c r="BV11" i="3"/>
  <c r="BV18" i="3"/>
  <c r="BW18" i="3"/>
  <c r="BX18" i="3" s="1"/>
  <c r="BW9" i="3"/>
  <c r="BX9" i="3" s="1"/>
  <c r="BV9" i="3"/>
  <c r="BW10" i="3"/>
  <c r="BX10" i="3" s="1"/>
  <c r="BV10" i="3"/>
  <c r="BW15" i="3"/>
  <c r="BX15" i="3" s="1"/>
  <c r="BV15" i="3"/>
  <c r="BV22" i="3"/>
  <c r="BW22" i="3"/>
  <c r="BX22" i="3" s="1"/>
  <c r="BV17" i="3"/>
  <c r="BW17" i="3"/>
  <c r="BX17" i="3" s="1"/>
  <c r="BV7" i="3"/>
  <c r="BW7" i="3"/>
  <c r="BX7" i="3" s="1"/>
  <c r="BV14" i="3"/>
  <c r="BW14" i="3"/>
  <c r="BX14" i="3" s="1"/>
  <c r="BW21" i="3"/>
  <c r="BX21" i="3" s="1"/>
  <c r="BV21" i="3"/>
  <c r="BW6" i="3" l="1"/>
  <c r="BX6" i="3" s="1"/>
  <c r="BZ6" i="3" s="1"/>
  <c r="CA6" i="3" s="1"/>
  <c r="BV32" i="3"/>
  <c r="GT34" i="3" s="1"/>
  <c r="BW23" i="3"/>
  <c r="BX23" i="3" s="1"/>
  <c r="BX32" i="3" s="1"/>
  <c r="BU32" i="3"/>
  <c r="GU34" i="3" s="1"/>
  <c r="BV13" i="3"/>
  <c r="BW12" i="3"/>
  <c r="BX12" i="3" s="1"/>
  <c r="BZ12" i="3" s="1"/>
  <c r="CA12" i="3" s="1"/>
  <c r="BT29" i="3"/>
  <c r="BU29" i="3" s="1"/>
  <c r="BS29" i="3"/>
  <c r="GQ35" i="3"/>
  <c r="GR35" i="3" s="1"/>
  <c r="BS30" i="3"/>
  <c r="BT30" i="3"/>
  <c r="BU30" i="3" s="1"/>
  <c r="BS26" i="3"/>
  <c r="BT26" i="3"/>
  <c r="BU26" i="3" s="1"/>
  <c r="BS28" i="3"/>
  <c r="BT28" i="3"/>
  <c r="BU28" i="3" s="1"/>
  <c r="BS24" i="3"/>
  <c r="BT24" i="3"/>
  <c r="BU24" i="3" s="1"/>
  <c r="BS25" i="3"/>
  <c r="BT25" i="3"/>
  <c r="BU25" i="3" s="1"/>
  <c r="BS27" i="3"/>
  <c r="BT27" i="3"/>
  <c r="BU27" i="3" s="1"/>
  <c r="BV19" i="3"/>
  <c r="GV35" i="3"/>
  <c r="GS36" i="3"/>
  <c r="GY36" i="3" s="1"/>
  <c r="GU35" i="3"/>
  <c r="BP31" i="3"/>
  <c r="GW32" i="3" s="1"/>
  <c r="BT8" i="3"/>
  <c r="BU8" i="3" s="1"/>
  <c r="BS8" i="3"/>
  <c r="BS20" i="3"/>
  <c r="BT20" i="3"/>
  <c r="BU20" i="3" s="1"/>
  <c r="GZ35" i="3"/>
  <c r="GW35" i="3"/>
  <c r="GX35" i="3"/>
  <c r="GY35" i="3"/>
  <c r="BS16" i="3"/>
  <c r="BT16" i="3"/>
  <c r="BU16" i="3" s="1"/>
  <c r="BR31" i="3"/>
  <c r="GV33" i="3" s="1"/>
  <c r="BZ14" i="3"/>
  <c r="CA14" i="3" s="1"/>
  <c r="BY14" i="3"/>
  <c r="BZ17" i="3"/>
  <c r="CA17" i="3" s="1"/>
  <c r="BY17" i="3"/>
  <c r="BY21" i="3"/>
  <c r="BZ21" i="3"/>
  <c r="CA21" i="3" s="1"/>
  <c r="BZ7" i="3"/>
  <c r="CA7" i="3" s="1"/>
  <c r="BY7" i="3"/>
  <c r="BY15" i="3"/>
  <c r="BZ15" i="3"/>
  <c r="CA15" i="3" s="1"/>
  <c r="BZ10" i="3"/>
  <c r="CA10" i="3" s="1"/>
  <c r="BY10" i="3"/>
  <c r="BZ9" i="3"/>
  <c r="CA9" i="3" s="1"/>
  <c r="BY9" i="3"/>
  <c r="BZ18" i="3"/>
  <c r="CA18" i="3" s="1"/>
  <c r="BY18" i="3"/>
  <c r="BZ13" i="3"/>
  <c r="CA13" i="3" s="1"/>
  <c r="BY13" i="3"/>
  <c r="BZ22" i="3"/>
  <c r="CA22" i="3" s="1"/>
  <c r="BY22" i="3"/>
  <c r="BZ19" i="3"/>
  <c r="CA19" i="3" s="1"/>
  <c r="BY19" i="3"/>
  <c r="BY11" i="3"/>
  <c r="BZ11" i="3"/>
  <c r="CA11" i="3" s="1"/>
  <c r="BY6" i="3" l="1"/>
  <c r="BY32" i="3"/>
  <c r="BY12" i="3"/>
  <c r="BZ23" i="3"/>
  <c r="CA23" i="3" s="1"/>
  <c r="CB23" i="3" s="1"/>
  <c r="BY23" i="3"/>
  <c r="GS37" i="3"/>
  <c r="GV37" i="3" s="1"/>
  <c r="GW36" i="3"/>
  <c r="BV27" i="3"/>
  <c r="BW27" i="3"/>
  <c r="BX27" i="3" s="1"/>
  <c r="BW26" i="3"/>
  <c r="BX26" i="3" s="1"/>
  <c r="BV26" i="3"/>
  <c r="GZ36" i="3"/>
  <c r="GV36" i="3"/>
  <c r="BW24" i="3"/>
  <c r="BX24" i="3" s="1"/>
  <c r="BV24" i="3"/>
  <c r="BW25" i="3"/>
  <c r="BX25" i="3" s="1"/>
  <c r="BV25" i="3"/>
  <c r="BV28" i="3"/>
  <c r="BW28" i="3"/>
  <c r="BX28" i="3" s="1"/>
  <c r="BW30" i="3"/>
  <c r="BX30" i="3" s="1"/>
  <c r="BV30" i="3"/>
  <c r="BW29" i="3"/>
  <c r="BX29" i="3" s="1"/>
  <c r="BV29" i="3"/>
  <c r="GT36" i="3"/>
  <c r="GU36" i="3"/>
  <c r="GX36" i="3"/>
  <c r="GQ36" i="3"/>
  <c r="GR36" i="3" s="1"/>
  <c r="BW8" i="3"/>
  <c r="BX8" i="3" s="1"/>
  <c r="BV8" i="3"/>
  <c r="BS31" i="3"/>
  <c r="GW33" i="3" s="1"/>
  <c r="BV20" i="3"/>
  <c r="BW20" i="3"/>
  <c r="BX20" i="3" s="1"/>
  <c r="BW16" i="3"/>
  <c r="BX16" i="3" s="1"/>
  <c r="BU31" i="3"/>
  <c r="GV34" i="3" s="1"/>
  <c r="BV16" i="3"/>
  <c r="CC12" i="3"/>
  <c r="CD12" i="3" s="1"/>
  <c r="CB12" i="3"/>
  <c r="CC22" i="3"/>
  <c r="CD22" i="3" s="1"/>
  <c r="CB22" i="3"/>
  <c r="CC9" i="3"/>
  <c r="CD9" i="3" s="1"/>
  <c r="CB9" i="3"/>
  <c r="GW37" i="3"/>
  <c r="CC15" i="3"/>
  <c r="CD15" i="3" s="1"/>
  <c r="CB15" i="3"/>
  <c r="CB21" i="3"/>
  <c r="CC21" i="3"/>
  <c r="CD21" i="3" s="1"/>
  <c r="CB19" i="3"/>
  <c r="CC19" i="3"/>
  <c r="CD19" i="3" s="1"/>
  <c r="CB7" i="3"/>
  <c r="CC7" i="3"/>
  <c r="CD7" i="3" s="1"/>
  <c r="CC18" i="3"/>
  <c r="CD18" i="3" s="1"/>
  <c r="CB18" i="3"/>
  <c r="CB11" i="3"/>
  <c r="CC11" i="3"/>
  <c r="CD11" i="3" s="1"/>
  <c r="CB13" i="3"/>
  <c r="CC13" i="3"/>
  <c r="CD13" i="3" s="1"/>
  <c r="CB10" i="3"/>
  <c r="CC10" i="3"/>
  <c r="CD10" i="3" s="1"/>
  <c r="CB6" i="3"/>
  <c r="CC6" i="3"/>
  <c r="CD6" i="3" s="1"/>
  <c r="CC17" i="3"/>
  <c r="CD17" i="3" s="1"/>
  <c r="CB17" i="3"/>
  <c r="CB14" i="3"/>
  <c r="CC14" i="3"/>
  <c r="CD14" i="3" s="1"/>
  <c r="CC23" i="3" l="1"/>
  <c r="CD23" i="3" s="1"/>
  <c r="CD32" i="3" s="1"/>
  <c r="CB32" i="3"/>
  <c r="CA32" i="3"/>
  <c r="GQ37" i="3"/>
  <c r="GR37" i="3" s="1"/>
  <c r="GU37" i="3"/>
  <c r="GY37" i="3"/>
  <c r="GZ37" i="3"/>
  <c r="GS38" i="3"/>
  <c r="GT38" i="3" s="1"/>
  <c r="GT37" i="3"/>
  <c r="GX37" i="3"/>
  <c r="BY28" i="3"/>
  <c r="BZ28" i="3"/>
  <c r="CA28" i="3" s="1"/>
  <c r="BZ29" i="3"/>
  <c r="CA29" i="3" s="1"/>
  <c r="BY29" i="3"/>
  <c r="BY24" i="3"/>
  <c r="BZ24" i="3"/>
  <c r="CA24" i="3" s="1"/>
  <c r="BZ26" i="3"/>
  <c r="CA26" i="3" s="1"/>
  <c r="BY26" i="3"/>
  <c r="BZ27" i="3"/>
  <c r="CA27" i="3" s="1"/>
  <c r="BY27" i="3"/>
  <c r="BY30" i="3"/>
  <c r="BZ30" i="3"/>
  <c r="CA30" i="3" s="1"/>
  <c r="BY25" i="3"/>
  <c r="BZ25" i="3"/>
  <c r="CA25" i="3" s="1"/>
  <c r="BV31" i="3"/>
  <c r="GW34" i="3" s="1"/>
  <c r="BZ8" i="3"/>
  <c r="CA8" i="3" s="1"/>
  <c r="BY8" i="3"/>
  <c r="BY20" i="3"/>
  <c r="BZ20" i="3"/>
  <c r="CA20" i="3" s="1"/>
  <c r="BZ16" i="3"/>
  <c r="CA16" i="3" s="1"/>
  <c r="BY16" i="3"/>
  <c r="BX31" i="3"/>
  <c r="CF17" i="3"/>
  <c r="CG17" i="3" s="1"/>
  <c r="CE17" i="3"/>
  <c r="CE10" i="3"/>
  <c r="CF10" i="3"/>
  <c r="CG10" i="3" s="1"/>
  <c r="CE14" i="3"/>
  <c r="CF14" i="3"/>
  <c r="CG14" i="3" s="1"/>
  <c r="CE6" i="3"/>
  <c r="CF6" i="3"/>
  <c r="CG6" i="3" s="1"/>
  <c r="CE32" i="3"/>
  <c r="CF9" i="3"/>
  <c r="CG9" i="3" s="1"/>
  <c r="CE9" i="3"/>
  <c r="CE12" i="3"/>
  <c r="CF12" i="3"/>
  <c r="CG12" i="3" s="1"/>
  <c r="CF18" i="3"/>
  <c r="CG18" i="3" s="1"/>
  <c r="CE18" i="3"/>
  <c r="CF21" i="3"/>
  <c r="CG21" i="3" s="1"/>
  <c r="CE21" i="3"/>
  <c r="CF22" i="3"/>
  <c r="CG22" i="3" s="1"/>
  <c r="CE22" i="3"/>
  <c r="CF11" i="3"/>
  <c r="CG11" i="3" s="1"/>
  <c r="CE11" i="3"/>
  <c r="CF7" i="3"/>
  <c r="CG7" i="3" s="1"/>
  <c r="CE7" i="3"/>
  <c r="CE13" i="3"/>
  <c r="CF13" i="3"/>
  <c r="CG13" i="3" s="1"/>
  <c r="CE19" i="3"/>
  <c r="CF19" i="3"/>
  <c r="CG19" i="3" s="1"/>
  <c r="CE15" i="3"/>
  <c r="CF15" i="3"/>
  <c r="CG15" i="3" s="1"/>
  <c r="CF23" i="3" l="1"/>
  <c r="CG23" i="3" s="1"/>
  <c r="CI23" i="3" s="1"/>
  <c r="CJ23" i="3" s="1"/>
  <c r="CE23" i="3"/>
  <c r="GS39" i="3"/>
  <c r="GT39" i="3" s="1"/>
  <c r="GQ38" i="3"/>
  <c r="GR38" i="3" s="1"/>
  <c r="GU38" i="3"/>
  <c r="GX38" i="3"/>
  <c r="GW38" i="3"/>
  <c r="GV38" i="3"/>
  <c r="GY38" i="3"/>
  <c r="GZ38" i="3"/>
  <c r="CB26" i="3"/>
  <c r="CC26" i="3"/>
  <c r="CD26" i="3" s="1"/>
  <c r="CB25" i="3"/>
  <c r="CC25" i="3"/>
  <c r="CD25" i="3" s="1"/>
  <c r="CC24" i="3"/>
  <c r="CD24" i="3" s="1"/>
  <c r="CB24" i="3"/>
  <c r="CB28" i="3"/>
  <c r="CC28" i="3"/>
  <c r="CD28" i="3" s="1"/>
  <c r="CB30" i="3"/>
  <c r="CC30" i="3"/>
  <c r="CD30" i="3" s="1"/>
  <c r="CC29" i="3"/>
  <c r="CD29" i="3" s="1"/>
  <c r="CB29" i="3"/>
  <c r="CB27" i="3"/>
  <c r="CC27" i="3"/>
  <c r="CD27" i="3" s="1"/>
  <c r="BY31" i="3"/>
  <c r="CC8" i="3"/>
  <c r="CD8" i="3" s="1"/>
  <c r="CB8" i="3"/>
  <c r="CC20" i="3"/>
  <c r="CD20" i="3" s="1"/>
  <c r="CB20" i="3"/>
  <c r="CC16" i="3"/>
  <c r="CD16" i="3" s="1"/>
  <c r="CB16" i="3"/>
  <c r="CA31" i="3"/>
  <c r="CI19" i="3"/>
  <c r="CJ19" i="3" s="1"/>
  <c r="CH19" i="3"/>
  <c r="CI12" i="3"/>
  <c r="CJ12" i="3" s="1"/>
  <c r="CH12" i="3"/>
  <c r="CH23" i="3"/>
  <c r="CI10" i="3"/>
  <c r="CJ10" i="3" s="1"/>
  <c r="CH10" i="3"/>
  <c r="CH15" i="3"/>
  <c r="CI15" i="3"/>
  <c r="CJ15" i="3" s="1"/>
  <c r="CH13" i="3"/>
  <c r="CI13" i="3"/>
  <c r="CJ13" i="3" s="1"/>
  <c r="CI7" i="3"/>
  <c r="CJ7" i="3" s="1"/>
  <c r="CH7" i="3"/>
  <c r="CI6" i="3"/>
  <c r="CJ6" i="3" s="1"/>
  <c r="CH6" i="3"/>
  <c r="CH22" i="3"/>
  <c r="CI22" i="3"/>
  <c r="CJ22" i="3" s="1"/>
  <c r="CH18" i="3"/>
  <c r="CI18" i="3"/>
  <c r="CJ18" i="3" s="1"/>
  <c r="CI9" i="3"/>
  <c r="CJ9" i="3" s="1"/>
  <c r="CH9" i="3"/>
  <c r="CH17" i="3"/>
  <c r="CI17" i="3"/>
  <c r="CJ17" i="3" s="1"/>
  <c r="CH11" i="3"/>
  <c r="CI11" i="3"/>
  <c r="CJ11" i="3" s="1"/>
  <c r="CH21" i="3"/>
  <c r="CI21" i="3"/>
  <c r="CJ21" i="3" s="1"/>
  <c r="CH14" i="3"/>
  <c r="CI14" i="3"/>
  <c r="CJ14" i="3" s="1"/>
  <c r="CG32" i="3" l="1"/>
  <c r="GX39" i="3"/>
  <c r="CH32" i="3"/>
  <c r="GZ39" i="3"/>
  <c r="GS40" i="3"/>
  <c r="GZ40" i="3" s="1"/>
  <c r="GV39" i="3"/>
  <c r="GU39" i="3"/>
  <c r="GW39" i="3"/>
  <c r="GQ39" i="3"/>
  <c r="GR39" i="3" s="1"/>
  <c r="GY39" i="3"/>
  <c r="CF30" i="3"/>
  <c r="CG30" i="3" s="1"/>
  <c r="CE30" i="3"/>
  <c r="CF28" i="3"/>
  <c r="CG28" i="3" s="1"/>
  <c r="CE28" i="3"/>
  <c r="CE25" i="3"/>
  <c r="CF25" i="3"/>
  <c r="CG25" i="3" s="1"/>
  <c r="CE29" i="3"/>
  <c r="CF29" i="3"/>
  <c r="CG29" i="3" s="1"/>
  <c r="CE27" i="3"/>
  <c r="CF27" i="3"/>
  <c r="CG27" i="3" s="1"/>
  <c r="CF26" i="3"/>
  <c r="CG26" i="3" s="1"/>
  <c r="CE26" i="3"/>
  <c r="CF24" i="3"/>
  <c r="CG24" i="3" s="1"/>
  <c r="CE24" i="3"/>
  <c r="CE8" i="3"/>
  <c r="CF8" i="3"/>
  <c r="CG8" i="3" s="1"/>
  <c r="CB31" i="3"/>
  <c r="CE20" i="3"/>
  <c r="CF20" i="3"/>
  <c r="CG20" i="3" s="1"/>
  <c r="CF16" i="3"/>
  <c r="CG16" i="3" s="1"/>
  <c r="CD31" i="3"/>
  <c r="CE16" i="3"/>
  <c r="CK14" i="3"/>
  <c r="CL14" i="3"/>
  <c r="CM14" i="3" s="1"/>
  <c r="CK23" i="3"/>
  <c r="CL23" i="3"/>
  <c r="CM23" i="3" s="1"/>
  <c r="CK32" i="3"/>
  <c r="CJ32" i="3"/>
  <c r="CL21" i="3"/>
  <c r="CM21" i="3" s="1"/>
  <c r="CK21" i="3"/>
  <c r="CL17" i="3"/>
  <c r="CM17" i="3" s="1"/>
  <c r="CK17" i="3"/>
  <c r="CK9" i="3"/>
  <c r="CL9" i="3"/>
  <c r="CM9" i="3" s="1"/>
  <c r="CK6" i="3"/>
  <c r="CL6" i="3"/>
  <c r="CM6" i="3" s="1"/>
  <c r="CL13" i="3"/>
  <c r="CM13" i="3" s="1"/>
  <c r="CK13" i="3"/>
  <c r="CK18" i="3"/>
  <c r="CL18" i="3"/>
  <c r="CM18" i="3" s="1"/>
  <c r="CL12" i="3"/>
  <c r="CM12" i="3" s="1"/>
  <c r="CK12" i="3"/>
  <c r="CL11" i="3"/>
  <c r="CM11" i="3" s="1"/>
  <c r="CK11" i="3"/>
  <c r="CK15" i="3"/>
  <c r="CL15" i="3"/>
  <c r="CM15" i="3" s="1"/>
  <c r="CL22" i="3"/>
  <c r="CM22" i="3" s="1"/>
  <c r="CK22" i="3"/>
  <c r="CK7" i="3"/>
  <c r="CL7" i="3"/>
  <c r="CM7" i="3" s="1"/>
  <c r="CL10" i="3"/>
  <c r="CM10" i="3" s="1"/>
  <c r="CK10" i="3"/>
  <c r="CK19" i="3"/>
  <c r="CL19" i="3"/>
  <c r="CM19" i="3" s="1"/>
  <c r="GU40" i="3" l="1"/>
  <c r="GX40" i="3"/>
  <c r="GT40" i="3"/>
  <c r="GY40" i="3"/>
  <c r="GW40" i="3"/>
  <c r="GV40" i="3"/>
  <c r="GS41" i="3"/>
  <c r="GT41" i="3" s="1"/>
  <c r="GQ40" i="3"/>
  <c r="GR40" i="3" s="1"/>
  <c r="CI28" i="3"/>
  <c r="CJ28" i="3" s="1"/>
  <c r="CH28" i="3"/>
  <c r="CI27" i="3"/>
  <c r="CJ27" i="3" s="1"/>
  <c r="CH27" i="3"/>
  <c r="CH29" i="3"/>
  <c r="CI29" i="3"/>
  <c r="CJ29" i="3" s="1"/>
  <c r="CH26" i="3"/>
  <c r="CI26" i="3"/>
  <c r="CJ26" i="3" s="1"/>
  <c r="CH25" i="3"/>
  <c r="CI25" i="3"/>
  <c r="CJ25" i="3" s="1"/>
  <c r="CI24" i="3"/>
  <c r="CJ24" i="3" s="1"/>
  <c r="CH24" i="3"/>
  <c r="CH30" i="3"/>
  <c r="CI30" i="3"/>
  <c r="CJ30" i="3" s="1"/>
  <c r="CE31" i="3"/>
  <c r="CI8" i="3"/>
  <c r="CJ8" i="3" s="1"/>
  <c r="CH8" i="3"/>
  <c r="CH20" i="3"/>
  <c r="CI20" i="3"/>
  <c r="CJ20" i="3" s="1"/>
  <c r="CH16" i="3"/>
  <c r="CG31" i="3"/>
  <c r="CI16" i="3"/>
  <c r="CJ16" i="3" s="1"/>
  <c r="CN12" i="3"/>
  <c r="CO12" i="3"/>
  <c r="CP12" i="3" s="1"/>
  <c r="CN18" i="3"/>
  <c r="CO18" i="3"/>
  <c r="CP18" i="3" s="1"/>
  <c r="CO17" i="3"/>
  <c r="CP17" i="3" s="1"/>
  <c r="CN17" i="3"/>
  <c r="CO10" i="3"/>
  <c r="CP10" i="3" s="1"/>
  <c r="CN10" i="3"/>
  <c r="GW41" i="3"/>
  <c r="CN11" i="3"/>
  <c r="CO11" i="3"/>
  <c r="CP11" i="3" s="1"/>
  <c r="CN13" i="3"/>
  <c r="CO13" i="3"/>
  <c r="CP13" i="3" s="1"/>
  <c r="CN9" i="3"/>
  <c r="CO9" i="3"/>
  <c r="CP9" i="3" s="1"/>
  <c r="CO23" i="3"/>
  <c r="CP23" i="3" s="1"/>
  <c r="CN23" i="3"/>
  <c r="CM32" i="3"/>
  <c r="CN32" i="3"/>
  <c r="CN14" i="3"/>
  <c r="CO14" i="3"/>
  <c r="CP14" i="3" s="1"/>
  <c r="CO15" i="3"/>
  <c r="CP15" i="3" s="1"/>
  <c r="CN15" i="3"/>
  <c r="CN19" i="3"/>
  <c r="CO19" i="3"/>
  <c r="CP19" i="3" s="1"/>
  <c r="CN7" i="3"/>
  <c r="CO7" i="3"/>
  <c r="CP7" i="3" s="1"/>
  <c r="CN22" i="3"/>
  <c r="CO22" i="3"/>
  <c r="CP22" i="3" s="1"/>
  <c r="CO6" i="3"/>
  <c r="CP6" i="3" s="1"/>
  <c r="CN6" i="3"/>
  <c r="CN21" i="3"/>
  <c r="CO21" i="3"/>
  <c r="CP21" i="3" s="1"/>
  <c r="GS42" i="3" l="1"/>
  <c r="GX42" i="3" s="1"/>
  <c r="GQ41" i="3"/>
  <c r="GR41" i="3" s="1"/>
  <c r="GY41" i="3"/>
  <c r="GZ41" i="3"/>
  <c r="GV41" i="3"/>
  <c r="GX41" i="3"/>
  <c r="GU41" i="3"/>
  <c r="CK26" i="3"/>
  <c r="CL26" i="3"/>
  <c r="CM26" i="3" s="1"/>
  <c r="CL24" i="3"/>
  <c r="CM24" i="3" s="1"/>
  <c r="CK24" i="3"/>
  <c r="CL27" i="3"/>
  <c r="CM27" i="3" s="1"/>
  <c r="CK27" i="3"/>
  <c r="CL30" i="3"/>
  <c r="CM30" i="3" s="1"/>
  <c r="CK30" i="3"/>
  <c r="CL25" i="3"/>
  <c r="CM25" i="3" s="1"/>
  <c r="CK25" i="3"/>
  <c r="CK29" i="3"/>
  <c r="CL29" i="3"/>
  <c r="CM29" i="3" s="1"/>
  <c r="CK28" i="3"/>
  <c r="CL28" i="3"/>
  <c r="CM28" i="3" s="1"/>
  <c r="CL8" i="3"/>
  <c r="CM8" i="3" s="1"/>
  <c r="CK8" i="3"/>
  <c r="CH31" i="3"/>
  <c r="CL20" i="3"/>
  <c r="CM20" i="3" s="1"/>
  <c r="CK20" i="3"/>
  <c r="CJ31" i="3"/>
  <c r="CK16" i="3"/>
  <c r="CL16" i="3"/>
  <c r="CM16" i="3" s="1"/>
  <c r="CR7" i="3"/>
  <c r="CS7" i="3" s="1"/>
  <c r="CQ7" i="3"/>
  <c r="CQ15" i="3"/>
  <c r="CR15" i="3"/>
  <c r="CS15" i="3" s="1"/>
  <c r="CQ18" i="3"/>
  <c r="CR18" i="3"/>
  <c r="CS18" i="3" s="1"/>
  <c r="CR14" i="3"/>
  <c r="CS14" i="3" s="1"/>
  <c r="CQ14" i="3"/>
  <c r="CR13" i="3"/>
  <c r="CS13" i="3" s="1"/>
  <c r="CQ13" i="3"/>
  <c r="CR6" i="3"/>
  <c r="CS6" i="3" s="1"/>
  <c r="CQ6" i="3"/>
  <c r="CQ22" i="3"/>
  <c r="CR22" i="3"/>
  <c r="CS22" i="3" s="1"/>
  <c r="CQ19" i="3"/>
  <c r="CR19" i="3"/>
  <c r="CS19" i="3" s="1"/>
  <c r="CQ23" i="3"/>
  <c r="CP32" i="3"/>
  <c r="CR23" i="3"/>
  <c r="CS23" i="3" s="1"/>
  <c r="CQ32" i="3"/>
  <c r="CR12" i="3"/>
  <c r="CS12" i="3" s="1"/>
  <c r="CQ12" i="3"/>
  <c r="CR21" i="3"/>
  <c r="CS21" i="3" s="1"/>
  <c r="CQ21" i="3"/>
  <c r="CR9" i="3"/>
  <c r="CS9" i="3" s="1"/>
  <c r="CQ9" i="3"/>
  <c r="CR11" i="3"/>
  <c r="CS11" i="3" s="1"/>
  <c r="CQ11" i="3"/>
  <c r="CR10" i="3"/>
  <c r="CS10" i="3" s="1"/>
  <c r="CQ10" i="3"/>
  <c r="CR17" i="3"/>
  <c r="CS17" i="3" s="1"/>
  <c r="CQ17" i="3"/>
  <c r="GY42" i="3" l="1"/>
  <c r="GU42" i="3"/>
  <c r="GT42" i="3"/>
  <c r="GS43" i="3"/>
  <c r="GV43" i="3" s="1"/>
  <c r="GV42" i="3"/>
  <c r="GZ42" i="3"/>
  <c r="GW42" i="3"/>
  <c r="GQ42" i="3"/>
  <c r="GR42" i="3" s="1"/>
  <c r="CO24" i="3"/>
  <c r="CP24" i="3" s="1"/>
  <c r="CN24" i="3"/>
  <c r="CN28" i="3"/>
  <c r="CO28" i="3"/>
  <c r="CP28" i="3" s="1"/>
  <c r="CN29" i="3"/>
  <c r="CO29" i="3"/>
  <c r="CP29" i="3" s="1"/>
  <c r="CO30" i="3"/>
  <c r="CP30" i="3" s="1"/>
  <c r="CN30" i="3"/>
  <c r="CO26" i="3"/>
  <c r="CP26" i="3" s="1"/>
  <c r="CN26" i="3"/>
  <c r="CN25" i="3"/>
  <c r="CO25" i="3"/>
  <c r="CP25" i="3" s="1"/>
  <c r="CO27" i="3"/>
  <c r="CP27" i="3" s="1"/>
  <c r="CN27" i="3"/>
  <c r="CN8" i="3"/>
  <c r="CO8" i="3"/>
  <c r="CP8" i="3" s="1"/>
  <c r="CO20" i="3"/>
  <c r="CP20" i="3" s="1"/>
  <c r="CN20" i="3"/>
  <c r="CK31" i="3"/>
  <c r="CO16" i="3"/>
  <c r="CP16" i="3" s="1"/>
  <c r="CN16" i="3"/>
  <c r="CM31" i="3"/>
  <c r="CT9" i="3"/>
  <c r="CU9" i="3"/>
  <c r="CV9" i="3" s="1"/>
  <c r="CU6" i="3"/>
  <c r="CV6" i="3" s="1"/>
  <c r="CT6" i="3"/>
  <c r="CU17" i="3"/>
  <c r="CV17" i="3" s="1"/>
  <c r="CT17" i="3"/>
  <c r="CT11" i="3"/>
  <c r="CU11" i="3"/>
  <c r="CV11" i="3" s="1"/>
  <c r="CU21" i="3"/>
  <c r="CV21" i="3" s="1"/>
  <c r="CT21" i="3"/>
  <c r="CU23" i="3"/>
  <c r="CV23" i="3" s="1"/>
  <c r="CT23" i="3"/>
  <c r="CT32" i="3"/>
  <c r="CS32" i="3"/>
  <c r="CU14" i="3"/>
  <c r="CV14" i="3" s="1"/>
  <c r="CT14" i="3"/>
  <c r="CU18" i="3"/>
  <c r="CV18" i="3" s="1"/>
  <c r="CT18" i="3"/>
  <c r="CU15" i="3"/>
  <c r="CV15" i="3" s="1"/>
  <c r="CT15" i="3"/>
  <c r="CU19" i="3"/>
  <c r="CV19" i="3" s="1"/>
  <c r="CT19" i="3"/>
  <c r="CU10" i="3"/>
  <c r="CV10" i="3" s="1"/>
  <c r="CT10" i="3"/>
  <c r="CU12" i="3"/>
  <c r="CV12" i="3" s="1"/>
  <c r="CT12" i="3"/>
  <c r="CU13" i="3"/>
  <c r="CV13" i="3" s="1"/>
  <c r="CT13" i="3"/>
  <c r="CT22" i="3"/>
  <c r="CU22" i="3"/>
  <c r="CV22" i="3" s="1"/>
  <c r="CU7" i="3"/>
  <c r="CV7" i="3" s="1"/>
  <c r="CT7" i="3"/>
  <c r="GX43" i="3" l="1"/>
  <c r="GU43" i="3"/>
  <c r="GW43" i="3"/>
  <c r="GY43" i="3"/>
  <c r="GT43" i="3"/>
  <c r="GZ43" i="3"/>
  <c r="GS44" i="3"/>
  <c r="GW44" i="3" s="1"/>
  <c r="GQ43" i="3"/>
  <c r="GR43" i="3" s="1"/>
  <c r="CR30" i="3"/>
  <c r="CS30" i="3" s="1"/>
  <c r="CQ30" i="3"/>
  <c r="CQ25" i="3"/>
  <c r="CR25" i="3"/>
  <c r="CS25" i="3" s="1"/>
  <c r="CQ28" i="3"/>
  <c r="CR28" i="3"/>
  <c r="CS28" i="3" s="1"/>
  <c r="CQ29" i="3"/>
  <c r="CR29" i="3"/>
  <c r="CS29" i="3" s="1"/>
  <c r="CQ27" i="3"/>
  <c r="CR27" i="3"/>
  <c r="CS27" i="3" s="1"/>
  <c r="CQ26" i="3"/>
  <c r="CR26" i="3"/>
  <c r="CS26" i="3" s="1"/>
  <c r="CQ24" i="3"/>
  <c r="CR24" i="3"/>
  <c r="CS24" i="3" s="1"/>
  <c r="CQ8" i="3"/>
  <c r="CR8" i="3"/>
  <c r="CS8" i="3" s="1"/>
  <c r="CN31" i="3"/>
  <c r="CR20" i="3"/>
  <c r="CS20" i="3" s="1"/>
  <c r="CQ20" i="3"/>
  <c r="CQ16" i="3"/>
  <c r="CR16" i="3"/>
  <c r="CS16" i="3" s="1"/>
  <c r="CP31" i="3"/>
  <c r="CW7" i="3"/>
  <c r="CX7" i="3"/>
  <c r="CY7" i="3" s="1"/>
  <c r="CW11" i="3"/>
  <c r="CX11" i="3"/>
  <c r="CY11" i="3" s="1"/>
  <c r="CW6" i="3"/>
  <c r="CX6" i="3"/>
  <c r="CY6" i="3" s="1"/>
  <c r="CW15" i="3"/>
  <c r="CX15" i="3"/>
  <c r="CY15" i="3" s="1"/>
  <c r="CX14" i="3"/>
  <c r="CY14" i="3" s="1"/>
  <c r="CW14" i="3"/>
  <c r="CV32" i="3"/>
  <c r="CW32" i="3"/>
  <c r="CW23" i="3"/>
  <c r="CX23" i="3"/>
  <c r="CY23" i="3" s="1"/>
  <c r="CX13" i="3"/>
  <c r="CY13" i="3" s="1"/>
  <c r="CW13" i="3"/>
  <c r="CW10" i="3"/>
  <c r="CX10" i="3"/>
  <c r="CY10" i="3" s="1"/>
  <c r="CX9" i="3"/>
  <c r="CY9" i="3" s="1"/>
  <c r="CW9" i="3"/>
  <c r="CX12" i="3"/>
  <c r="CY12" i="3" s="1"/>
  <c r="CW12" i="3"/>
  <c r="CW22" i="3"/>
  <c r="CX22" i="3"/>
  <c r="CY22" i="3" s="1"/>
  <c r="CX19" i="3"/>
  <c r="CY19" i="3" s="1"/>
  <c r="CW19" i="3"/>
  <c r="CW18" i="3"/>
  <c r="CX18" i="3"/>
  <c r="CY18" i="3" s="1"/>
  <c r="CX21" i="3"/>
  <c r="CY21" i="3" s="1"/>
  <c r="CW21" i="3"/>
  <c r="CW17" i="3"/>
  <c r="CX17" i="3"/>
  <c r="CY17" i="3" s="1"/>
  <c r="GX44" i="3"/>
  <c r="GV44" i="3" l="1"/>
  <c r="GY44" i="3"/>
  <c r="GQ44" i="3"/>
  <c r="HB4" i="3" s="1"/>
  <c r="GU44" i="3"/>
  <c r="GT44" i="3"/>
  <c r="GZ44" i="3"/>
  <c r="CT29" i="3"/>
  <c r="CU29" i="3"/>
  <c r="CV29" i="3" s="1"/>
  <c r="CU24" i="3"/>
  <c r="CV24" i="3" s="1"/>
  <c r="CT24" i="3"/>
  <c r="CT27" i="3"/>
  <c r="CU27" i="3"/>
  <c r="CV27" i="3" s="1"/>
  <c r="CT28" i="3"/>
  <c r="CU28" i="3"/>
  <c r="CV28" i="3" s="1"/>
  <c r="CU26" i="3"/>
  <c r="CV26" i="3" s="1"/>
  <c r="CT26" i="3"/>
  <c r="CT25" i="3"/>
  <c r="CU25" i="3"/>
  <c r="CV25" i="3" s="1"/>
  <c r="CU30" i="3"/>
  <c r="CV30" i="3" s="1"/>
  <c r="CT30" i="3"/>
  <c r="CQ31" i="3"/>
  <c r="CU8" i="3"/>
  <c r="CV8" i="3" s="1"/>
  <c r="CT8" i="3"/>
  <c r="CT20" i="3"/>
  <c r="CU20" i="3"/>
  <c r="CV20" i="3" s="1"/>
  <c r="CU16" i="3"/>
  <c r="CV16" i="3" s="1"/>
  <c r="CS31" i="3"/>
  <c r="CT16" i="3"/>
  <c r="DV104" i="3"/>
  <c r="U166" i="3" s="1"/>
  <c r="DU104" i="3"/>
  <c r="DW154" i="3"/>
  <c r="DV154" i="3"/>
  <c r="U216" i="3" s="1"/>
  <c r="DU154" i="3"/>
  <c r="DW104" i="3"/>
  <c r="DA14" i="3"/>
  <c r="CZ14" i="3"/>
  <c r="CZ7" i="3"/>
  <c r="DA7" i="3"/>
  <c r="DA21" i="3"/>
  <c r="CZ21" i="3"/>
  <c r="DA19" i="3"/>
  <c r="CZ19" i="3"/>
  <c r="DA9" i="3"/>
  <c r="CZ9" i="3"/>
  <c r="DA13" i="3"/>
  <c r="CZ13" i="3"/>
  <c r="DA11" i="3"/>
  <c r="CZ11" i="3"/>
  <c r="CZ17" i="3"/>
  <c r="DA17" i="3"/>
  <c r="CZ18" i="3"/>
  <c r="DA18" i="3"/>
  <c r="CZ10" i="3"/>
  <c r="DA10" i="3"/>
  <c r="CZ23" i="3"/>
  <c r="CZ32" i="3"/>
  <c r="DA23" i="3"/>
  <c r="CY32" i="3"/>
  <c r="DV118" i="3"/>
  <c r="U180" i="3" s="1"/>
  <c r="DU58" i="3"/>
  <c r="DW119" i="3"/>
  <c r="DV35" i="3"/>
  <c r="U97" i="3" s="1"/>
  <c r="DU95" i="3"/>
  <c r="DW120" i="3"/>
  <c r="DW44" i="3"/>
  <c r="DW143" i="3"/>
  <c r="DV186" i="3"/>
  <c r="U248" i="3" s="1"/>
  <c r="DV41" i="3"/>
  <c r="U103" i="3" s="1"/>
  <c r="DV88" i="3"/>
  <c r="U150" i="3" s="1"/>
  <c r="DV166" i="3"/>
  <c r="U228" i="3" s="1"/>
  <c r="DU147" i="3"/>
  <c r="DU93" i="3"/>
  <c r="DV32" i="3"/>
  <c r="U94" i="3" s="1"/>
  <c r="DU51" i="3"/>
  <c r="DW137" i="3"/>
  <c r="DW141" i="3"/>
  <c r="DW174" i="3"/>
  <c r="DU94" i="3"/>
  <c r="DV81" i="3"/>
  <c r="U143" i="3" s="1"/>
  <c r="DW87" i="3"/>
  <c r="DU91" i="3"/>
  <c r="DW72" i="3"/>
  <c r="DV85" i="3"/>
  <c r="U147" i="3" s="1"/>
  <c r="DW32" i="3"/>
  <c r="DV77" i="3"/>
  <c r="U139" i="3" s="1"/>
  <c r="DV174" i="3"/>
  <c r="U236" i="3" s="1"/>
  <c r="DV172" i="3"/>
  <c r="U234" i="3" s="1"/>
  <c r="DW82" i="3"/>
  <c r="DW73" i="3"/>
  <c r="DU184" i="3"/>
  <c r="DV19" i="3"/>
  <c r="U81" i="3" s="1"/>
  <c r="DW59" i="3"/>
  <c r="DU149" i="3"/>
  <c r="DV133" i="3"/>
  <c r="U195" i="3" s="1"/>
  <c r="DW164" i="3"/>
  <c r="DW88" i="3"/>
  <c r="DV134" i="3"/>
  <c r="U196" i="3" s="1"/>
  <c r="DW136" i="3"/>
  <c r="DV162" i="3"/>
  <c r="U224" i="3" s="1"/>
  <c r="DW96" i="3"/>
  <c r="DW57" i="3"/>
  <c r="DU21" i="3"/>
  <c r="DU185" i="3"/>
  <c r="DU160" i="3"/>
  <c r="DW53" i="3"/>
  <c r="DU29" i="3"/>
  <c r="DW161" i="3"/>
  <c r="DU38" i="3"/>
  <c r="DV180" i="3"/>
  <c r="U242" i="3" s="1"/>
  <c r="DU140" i="3"/>
  <c r="DW132" i="3"/>
  <c r="DV57" i="3"/>
  <c r="U119" i="3" s="1"/>
  <c r="DW172" i="3"/>
  <c r="DV43" i="3"/>
  <c r="U105" i="3" s="1"/>
  <c r="DV165" i="3"/>
  <c r="U227" i="3" s="1"/>
  <c r="DV110" i="3"/>
  <c r="U172" i="3" s="1"/>
  <c r="DV14" i="3"/>
  <c r="U76" i="3" s="1"/>
  <c r="DV151" i="3"/>
  <c r="U213" i="3" s="1"/>
  <c r="DW146" i="3"/>
  <c r="DV20" i="3"/>
  <c r="U82" i="3" s="1"/>
  <c r="DU176" i="3"/>
  <c r="DU125" i="3"/>
  <c r="DV135" i="3"/>
  <c r="U197" i="3" s="1"/>
  <c r="DV80" i="3"/>
  <c r="U142" i="3" s="1"/>
  <c r="DU145" i="3"/>
  <c r="DW170" i="3"/>
  <c r="DU159" i="3"/>
  <c r="DU186" i="3"/>
  <c r="DV22" i="3"/>
  <c r="U84" i="3" s="1"/>
  <c r="DW145" i="3"/>
  <c r="DV10" i="3"/>
  <c r="U72" i="3" s="1"/>
  <c r="DV33" i="3"/>
  <c r="U95" i="3" s="1"/>
  <c r="DV108" i="3"/>
  <c r="U170" i="3" s="1"/>
  <c r="DW76" i="3"/>
  <c r="DV109" i="3"/>
  <c r="U171" i="3" s="1"/>
  <c r="DV23" i="3"/>
  <c r="U85" i="3" s="1"/>
  <c r="DU118" i="3"/>
  <c r="DV173" i="3"/>
  <c r="U235" i="3" s="1"/>
  <c r="DU114" i="3"/>
  <c r="DW95" i="3"/>
  <c r="DV160" i="3"/>
  <c r="U222" i="3" s="1"/>
  <c r="DW94" i="3"/>
  <c r="DW135" i="3"/>
  <c r="DW124" i="3"/>
  <c r="DW21" i="3"/>
  <c r="DV9" i="3"/>
  <c r="U71" i="3" s="1"/>
  <c r="DW152" i="3"/>
  <c r="DV100" i="3"/>
  <c r="U162" i="3" s="1"/>
  <c r="DW18" i="3"/>
  <c r="DU39" i="3"/>
  <c r="DW27" i="3"/>
  <c r="DV150" i="3"/>
  <c r="U212" i="3" s="1"/>
  <c r="DU47" i="3"/>
  <c r="DV62" i="3"/>
  <c r="U124" i="3" s="1"/>
  <c r="DU173" i="3"/>
  <c r="DU25" i="3"/>
  <c r="DU157" i="3"/>
  <c r="DW130" i="3"/>
  <c r="DW184" i="3"/>
  <c r="DV119" i="3"/>
  <c r="U181" i="3" s="1"/>
  <c r="DW22" i="3"/>
  <c r="DV89" i="3"/>
  <c r="U151" i="3" s="1"/>
  <c r="DV130" i="3"/>
  <c r="U192" i="3" s="1"/>
  <c r="DU82" i="3"/>
  <c r="DV86" i="3"/>
  <c r="U148" i="3" s="1"/>
  <c r="DU76" i="3"/>
  <c r="DU141" i="3"/>
  <c r="DU175" i="3"/>
  <c r="DU115" i="3"/>
  <c r="DW159" i="3"/>
  <c r="DW179" i="3"/>
  <c r="DW15" i="3"/>
  <c r="DU119" i="3"/>
  <c r="DU62" i="3"/>
  <c r="DU56" i="3"/>
  <c r="DU20" i="3"/>
  <c r="DV183" i="3"/>
  <c r="U245" i="3" s="1"/>
  <c r="DW110" i="3"/>
  <c r="DU106" i="3"/>
  <c r="DW47" i="3"/>
  <c r="DV83" i="3"/>
  <c r="U145" i="3" s="1"/>
  <c r="DW100" i="3"/>
  <c r="DW185" i="3"/>
  <c r="DV59" i="3"/>
  <c r="U121" i="3" s="1"/>
  <c r="DW155" i="3"/>
  <c r="DV27" i="3"/>
  <c r="U89" i="3" s="1"/>
  <c r="DW41" i="3"/>
  <c r="DV87" i="3"/>
  <c r="U149" i="3" s="1"/>
  <c r="DU16" i="3"/>
  <c r="DU179" i="3"/>
  <c r="DV113" i="3"/>
  <c r="U175" i="3" s="1"/>
  <c r="DW138" i="3"/>
  <c r="DU41" i="3"/>
  <c r="DW65" i="3"/>
  <c r="DV126" i="3"/>
  <c r="U188" i="3" s="1"/>
  <c r="DU162" i="3"/>
  <c r="DU171" i="3"/>
  <c r="DU22" i="3"/>
  <c r="DV13" i="3"/>
  <c r="U75" i="3" s="1"/>
  <c r="DV182" i="3"/>
  <c r="U244" i="3" s="1"/>
  <c r="DW51" i="3"/>
  <c r="DU166" i="3"/>
  <c r="DW112" i="3"/>
  <c r="DU80" i="3"/>
  <c r="DU85" i="3"/>
  <c r="DU164" i="3"/>
  <c r="DV116" i="3"/>
  <c r="U178" i="3" s="1"/>
  <c r="DW131" i="3"/>
  <c r="DW157" i="3"/>
  <c r="DV48" i="3"/>
  <c r="U110" i="3" s="1"/>
  <c r="DU24" i="3"/>
  <c r="DW176" i="3"/>
  <c r="DW60" i="3"/>
  <c r="DW29" i="3"/>
  <c r="DU132" i="3"/>
  <c r="DV164" i="3"/>
  <c r="U226" i="3" s="1"/>
  <c r="DW24" i="3"/>
  <c r="DV72" i="3"/>
  <c r="U134" i="3" s="1"/>
  <c r="DW92" i="3"/>
  <c r="DW171" i="3"/>
  <c r="DV15" i="3"/>
  <c r="U77" i="3" s="1"/>
  <c r="DU122" i="3"/>
  <c r="DU75" i="3"/>
  <c r="DU37" i="3"/>
  <c r="DW43" i="3"/>
  <c r="DW98" i="3"/>
  <c r="DV24" i="3"/>
  <c r="U86" i="3" s="1"/>
  <c r="DU121" i="3"/>
  <c r="DU34" i="3"/>
  <c r="DV149" i="3"/>
  <c r="U211" i="3" s="1"/>
  <c r="DU168" i="3"/>
  <c r="DW163" i="3"/>
  <c r="DW56" i="3"/>
  <c r="DV56" i="3"/>
  <c r="U118" i="3" s="1"/>
  <c r="DU102" i="3"/>
  <c r="DU81" i="3"/>
  <c r="DW49" i="3"/>
  <c r="DW23" i="3"/>
  <c r="DV106" i="3"/>
  <c r="U168" i="3" s="1"/>
  <c r="DW183" i="3"/>
  <c r="DW167" i="3"/>
  <c r="DW150" i="3"/>
  <c r="DV90" i="3"/>
  <c r="U152" i="3" s="1"/>
  <c r="DU151" i="3"/>
  <c r="DU110" i="3"/>
  <c r="DV146" i="3"/>
  <c r="U208" i="3" s="1"/>
  <c r="DU74" i="3"/>
  <c r="DV92" i="3"/>
  <c r="U154" i="3" s="1"/>
  <c r="DV70" i="3"/>
  <c r="U132" i="3" s="1"/>
  <c r="DV107" i="3"/>
  <c r="U169" i="3" s="1"/>
  <c r="DU52" i="3"/>
  <c r="DU107" i="3"/>
  <c r="DV185" i="3"/>
  <c r="U247" i="3" s="1"/>
  <c r="DW66" i="3"/>
  <c r="DV148" i="3"/>
  <c r="U210" i="3" s="1"/>
  <c r="DV75" i="3"/>
  <c r="U137" i="3" s="1"/>
  <c r="DU180" i="3"/>
  <c r="DU14" i="3"/>
  <c r="DW149" i="3"/>
  <c r="DV66" i="3"/>
  <c r="U128" i="3" s="1"/>
  <c r="DV39" i="3"/>
  <c r="U101" i="3" s="1"/>
  <c r="DU36" i="3"/>
  <c r="DW169" i="3"/>
  <c r="DU13" i="3"/>
  <c r="DW168" i="3"/>
  <c r="DW147" i="3"/>
  <c r="DV91" i="3"/>
  <c r="U153" i="3" s="1"/>
  <c r="DW114" i="3"/>
  <c r="DV153" i="3"/>
  <c r="U215" i="3" s="1"/>
  <c r="DU120" i="3"/>
  <c r="DV141" i="3"/>
  <c r="U203" i="3" s="1"/>
  <c r="DW107" i="3"/>
  <c r="DV136" i="3"/>
  <c r="U198" i="3" s="1"/>
  <c r="DU108" i="3"/>
  <c r="DW105" i="3"/>
  <c r="DV144" i="3"/>
  <c r="U206" i="3" s="1"/>
  <c r="DV7" i="3"/>
  <c r="U69" i="3" s="1"/>
  <c r="DU57" i="3"/>
  <c r="DW156" i="3"/>
  <c r="DV99" i="3"/>
  <c r="U161" i="3" s="1"/>
  <c r="DV47" i="3"/>
  <c r="U109" i="3" s="1"/>
  <c r="DU96" i="3"/>
  <c r="DU48" i="3"/>
  <c r="DW33" i="3"/>
  <c r="DU129" i="3"/>
  <c r="DU103" i="3"/>
  <c r="DV163" i="3"/>
  <c r="U225" i="3" s="1"/>
  <c r="DU167" i="3"/>
  <c r="DW42" i="3"/>
  <c r="DV25" i="3"/>
  <c r="U87" i="3" s="1"/>
  <c r="DU87" i="3"/>
  <c r="DW84" i="3"/>
  <c r="DV178" i="3"/>
  <c r="U240" i="3" s="1"/>
  <c r="DV179" i="3"/>
  <c r="U241" i="3" s="1"/>
  <c r="DU99" i="3"/>
  <c r="DV152" i="3"/>
  <c r="U214" i="3" s="1"/>
  <c r="DU64" i="3"/>
  <c r="DV44" i="3"/>
  <c r="U106" i="3" s="1"/>
  <c r="DU150" i="3"/>
  <c r="DV71" i="3"/>
  <c r="U133" i="3" s="1"/>
  <c r="DW113" i="3"/>
  <c r="DV156" i="3"/>
  <c r="U218" i="3" s="1"/>
  <c r="DV6" i="3"/>
  <c r="DU126" i="3"/>
  <c r="DV98" i="3"/>
  <c r="U160" i="3" s="1"/>
  <c r="DV157" i="3"/>
  <c r="U219" i="3" s="1"/>
  <c r="DW79" i="3"/>
  <c r="DV181" i="3"/>
  <c r="U243" i="3" s="1"/>
  <c r="DW153" i="3"/>
  <c r="DU88" i="3"/>
  <c r="DW177" i="3"/>
  <c r="DU72" i="3"/>
  <c r="DW166" i="3"/>
  <c r="DU92" i="3"/>
  <c r="DV60" i="3"/>
  <c r="U122" i="3" s="1"/>
  <c r="DW70" i="3"/>
  <c r="DV101" i="3"/>
  <c r="U163" i="3" s="1"/>
  <c r="DV132" i="3"/>
  <c r="U194" i="3" s="1"/>
  <c r="DU152" i="3"/>
  <c r="DV84" i="3"/>
  <c r="U146" i="3" s="1"/>
  <c r="DU84" i="3"/>
  <c r="DU101" i="3"/>
  <c r="DU83" i="3"/>
  <c r="DU170" i="3"/>
  <c r="DU172" i="3"/>
  <c r="DV11" i="3"/>
  <c r="U73" i="3" s="1"/>
  <c r="DW13" i="3"/>
  <c r="DV121" i="3"/>
  <c r="U183" i="3" s="1"/>
  <c r="DW90" i="3"/>
  <c r="DW19" i="3"/>
  <c r="DW38" i="3"/>
  <c r="DV122" i="3"/>
  <c r="U184" i="3" s="1"/>
  <c r="DW118" i="3"/>
  <c r="DV54" i="3"/>
  <c r="U116" i="3" s="1"/>
  <c r="DU113" i="3"/>
  <c r="DU46" i="3"/>
  <c r="DU144" i="3"/>
  <c r="DU89" i="3"/>
  <c r="DW151" i="3"/>
  <c r="DU97" i="3"/>
  <c r="DV117" i="3"/>
  <c r="U179" i="3" s="1"/>
  <c r="DV36" i="3"/>
  <c r="U98" i="3" s="1"/>
  <c r="DW144" i="3"/>
  <c r="DW26" i="3"/>
  <c r="DW39" i="3"/>
  <c r="DW25" i="3"/>
  <c r="DV31" i="3"/>
  <c r="U93" i="3" s="1"/>
  <c r="DV155" i="3"/>
  <c r="U217" i="3" s="1"/>
  <c r="DV142" i="3"/>
  <c r="U204" i="3" s="1"/>
  <c r="DW77" i="3"/>
  <c r="DV137" i="3"/>
  <c r="U199" i="3" s="1"/>
  <c r="DV76" i="3"/>
  <c r="U138" i="3" s="1"/>
  <c r="DV51" i="3"/>
  <c r="U113" i="3" s="1"/>
  <c r="DW139" i="3"/>
  <c r="DV103" i="3"/>
  <c r="U165" i="3" s="1"/>
  <c r="DW86" i="3"/>
  <c r="DW165" i="3"/>
  <c r="DU6" i="3"/>
  <c r="DW16" i="3"/>
  <c r="DU138" i="3"/>
  <c r="DW81" i="3"/>
  <c r="DU45" i="3"/>
  <c r="DU32" i="3"/>
  <c r="DV29" i="3"/>
  <c r="U91" i="3" s="1"/>
  <c r="DV73" i="3"/>
  <c r="U135" i="3" s="1"/>
  <c r="DV55" i="3"/>
  <c r="U117" i="3" s="1"/>
  <c r="DW129" i="3"/>
  <c r="DU182" i="3"/>
  <c r="DW122" i="3"/>
  <c r="DU12" i="3"/>
  <c r="DV114" i="3"/>
  <c r="U176" i="3" s="1"/>
  <c r="DW61" i="3"/>
  <c r="DW127" i="3"/>
  <c r="DV65" i="3"/>
  <c r="U127" i="3" s="1"/>
  <c r="DU90" i="3"/>
  <c r="DW54" i="3"/>
  <c r="DV97" i="3"/>
  <c r="U159" i="3" s="1"/>
  <c r="DW102" i="3"/>
  <c r="DU146" i="3"/>
  <c r="DU117" i="3"/>
  <c r="DU66" i="3"/>
  <c r="DV143" i="3"/>
  <c r="U205" i="3" s="1"/>
  <c r="DV177" i="3"/>
  <c r="U239" i="3" s="1"/>
  <c r="DU86" i="3"/>
  <c r="DU105" i="3"/>
  <c r="DU59" i="3"/>
  <c r="DW134" i="3"/>
  <c r="DV145" i="3"/>
  <c r="U207" i="3" s="1"/>
  <c r="DU137" i="3"/>
  <c r="DU174" i="3"/>
  <c r="DV93" i="3"/>
  <c r="U155" i="3" s="1"/>
  <c r="DV82" i="3"/>
  <c r="U144" i="3" s="1"/>
  <c r="DW37" i="3"/>
  <c r="DV138" i="3"/>
  <c r="U200" i="3" s="1"/>
  <c r="DV112" i="3"/>
  <c r="U174" i="3" s="1"/>
  <c r="DW85" i="3"/>
  <c r="DU42" i="3"/>
  <c r="DV37" i="3"/>
  <c r="U99" i="3" s="1"/>
  <c r="DW178" i="3"/>
  <c r="DU133" i="3"/>
  <c r="DU73" i="3"/>
  <c r="DW64" i="3"/>
  <c r="DU43" i="3"/>
  <c r="DW103" i="3"/>
  <c r="DW9" i="3"/>
  <c r="DV45" i="3"/>
  <c r="U107" i="3" s="1"/>
  <c r="DW34" i="3"/>
  <c r="DU156" i="3"/>
  <c r="DW109" i="3"/>
  <c r="DU30" i="3"/>
  <c r="DU7" i="3"/>
  <c r="DV34" i="3"/>
  <c r="U96" i="3" s="1"/>
  <c r="DV127" i="3"/>
  <c r="U189" i="3" s="1"/>
  <c r="DV58" i="3"/>
  <c r="U120" i="3" s="1"/>
  <c r="DU61" i="3"/>
  <c r="DU177" i="3"/>
  <c r="DW117" i="3"/>
  <c r="DU98" i="3"/>
  <c r="DW68" i="3"/>
  <c r="DU55" i="3"/>
  <c r="DU33" i="3"/>
  <c r="DV17" i="3"/>
  <c r="U79" i="3" s="1"/>
  <c r="DU134" i="3"/>
  <c r="DV68" i="3"/>
  <c r="U130" i="3" s="1"/>
  <c r="DU49" i="3"/>
  <c r="DW173" i="3"/>
  <c r="DU135" i="3"/>
  <c r="DW78" i="3"/>
  <c r="DW31" i="3"/>
  <c r="DW74" i="3"/>
  <c r="DV184" i="3"/>
  <c r="U246" i="3" s="1"/>
  <c r="DW186" i="3"/>
  <c r="DW125" i="3"/>
  <c r="DV105" i="3"/>
  <c r="U167" i="3" s="1"/>
  <c r="DV69" i="3"/>
  <c r="U131" i="3" s="1"/>
  <c r="DW89" i="3"/>
  <c r="DW180" i="3"/>
  <c r="DU128" i="3"/>
  <c r="DU18" i="3"/>
  <c r="DU181" i="3"/>
  <c r="DV120" i="3"/>
  <c r="U182" i="3" s="1"/>
  <c r="DW162" i="3"/>
  <c r="DU79" i="3"/>
  <c r="DW58" i="3"/>
  <c r="DW175" i="3"/>
  <c r="DV50" i="3"/>
  <c r="U112" i="3" s="1"/>
  <c r="DV49" i="3"/>
  <c r="U111" i="3" s="1"/>
  <c r="DW158" i="3"/>
  <c r="DV38" i="3"/>
  <c r="U100" i="3" s="1"/>
  <c r="DW128" i="3"/>
  <c r="DW80" i="3"/>
  <c r="DW111" i="3"/>
  <c r="DV139" i="3"/>
  <c r="U201" i="3" s="1"/>
  <c r="DV52" i="3"/>
  <c r="U114" i="3" s="1"/>
  <c r="DW140" i="3"/>
  <c r="DV95" i="3"/>
  <c r="U157" i="3" s="1"/>
  <c r="DW20" i="3"/>
  <c r="DU116" i="3"/>
  <c r="DW10" i="3"/>
  <c r="DU127" i="3"/>
  <c r="DW160" i="3"/>
  <c r="DV129" i="3"/>
  <c r="U191" i="3" s="1"/>
  <c r="DV111" i="3"/>
  <c r="U173" i="3" s="1"/>
  <c r="DW99" i="3"/>
  <c r="DW121" i="3"/>
  <c r="DW181" i="3"/>
  <c r="DW12" i="3"/>
  <c r="DW142" i="3"/>
  <c r="DU109" i="3"/>
  <c r="DW63" i="3"/>
  <c r="DU130" i="3"/>
  <c r="DU53" i="3"/>
  <c r="DW69" i="3"/>
  <c r="DV147" i="3"/>
  <c r="U209" i="3" s="1"/>
  <c r="DU178" i="3"/>
  <c r="DU165" i="3"/>
  <c r="DV124" i="3"/>
  <c r="U186" i="3" s="1"/>
  <c r="DU112" i="3"/>
  <c r="DV175" i="3"/>
  <c r="U237" i="3" s="1"/>
  <c r="DU8" i="3"/>
  <c r="DU19" i="3"/>
  <c r="DW75" i="3"/>
  <c r="DW97" i="3"/>
  <c r="DV79" i="3"/>
  <c r="U141" i="3" s="1"/>
  <c r="DU10" i="3"/>
  <c r="DU68" i="3"/>
  <c r="DW182" i="3"/>
  <c r="DV176" i="3"/>
  <c r="U238" i="3" s="1"/>
  <c r="DW106" i="3"/>
  <c r="DV61" i="3"/>
  <c r="U123" i="3" s="1"/>
  <c r="DU60" i="3"/>
  <c r="DU63" i="3"/>
  <c r="DW55" i="3"/>
  <c r="DV64" i="3"/>
  <c r="U126" i="3" s="1"/>
  <c r="DU9" i="3"/>
  <c r="DV40" i="3"/>
  <c r="U102" i="3" s="1"/>
  <c r="DU153" i="3"/>
  <c r="DW46" i="3"/>
  <c r="DU27" i="3"/>
  <c r="DW14" i="3"/>
  <c r="DV170" i="3"/>
  <c r="U232" i="3" s="1"/>
  <c r="DU40" i="3"/>
  <c r="DV16" i="3"/>
  <c r="U78" i="3" s="1"/>
  <c r="DU23" i="3"/>
  <c r="DW17" i="3"/>
  <c r="DU111" i="3"/>
  <c r="DU69" i="3"/>
  <c r="DV94" i="3"/>
  <c r="U156" i="3" s="1"/>
  <c r="DV63" i="3"/>
  <c r="U125" i="3" s="1"/>
  <c r="DV8" i="3"/>
  <c r="U70" i="3" s="1"/>
  <c r="DV115" i="3"/>
  <c r="U177" i="3" s="1"/>
  <c r="DU163" i="3"/>
  <c r="DW123" i="3"/>
  <c r="DU131" i="3"/>
  <c r="DU71" i="3"/>
  <c r="DU35" i="3"/>
  <c r="DW36" i="3"/>
  <c r="DU123" i="3"/>
  <c r="DW108" i="3"/>
  <c r="DW115" i="3"/>
  <c r="DV18" i="3"/>
  <c r="U80" i="3" s="1"/>
  <c r="DV78" i="3"/>
  <c r="U140" i="3" s="1"/>
  <c r="DV96" i="3"/>
  <c r="U158" i="3" s="1"/>
  <c r="DV128" i="3"/>
  <c r="U190" i="3" s="1"/>
  <c r="DV168" i="3"/>
  <c r="U230" i="3" s="1"/>
  <c r="DV74" i="3"/>
  <c r="U136" i="3" s="1"/>
  <c r="DU17" i="3"/>
  <c r="DW45" i="3"/>
  <c r="DU15" i="3"/>
  <c r="DU142" i="3"/>
  <c r="DW101" i="3"/>
  <c r="DW48" i="3"/>
  <c r="DV30" i="3"/>
  <c r="U92" i="3" s="1"/>
  <c r="DW91" i="3"/>
  <c r="DU11" i="3"/>
  <c r="DV167" i="3"/>
  <c r="U229" i="3" s="1"/>
  <c r="DU70" i="3"/>
  <c r="DW71" i="3"/>
  <c r="DU26" i="3"/>
  <c r="DW35" i="3"/>
  <c r="DW93" i="3"/>
  <c r="DW11" i="3"/>
  <c r="DV42" i="3"/>
  <c r="U104" i="3" s="1"/>
  <c r="DW50" i="3"/>
  <c r="DU77" i="3"/>
  <c r="DV123" i="3"/>
  <c r="U185" i="3" s="1"/>
  <c r="DU183" i="3"/>
  <c r="DW62" i="3"/>
  <c r="DV171" i="3"/>
  <c r="U233" i="3" s="1"/>
  <c r="DW8" i="3"/>
  <c r="DW6" i="3"/>
  <c r="DU161" i="3"/>
  <c r="DW116" i="3"/>
  <c r="DU139" i="3"/>
  <c r="DV131" i="3"/>
  <c r="U193" i="3" s="1"/>
  <c r="DU158" i="3"/>
  <c r="DU136" i="3"/>
  <c r="DW67" i="3"/>
  <c r="DW52" i="3"/>
  <c r="DU67" i="3"/>
  <c r="DU78" i="3"/>
  <c r="DV12" i="3"/>
  <c r="U74" i="3" s="1"/>
  <c r="DU54" i="3"/>
  <c r="DV159" i="3"/>
  <c r="U221" i="3" s="1"/>
  <c r="DU31" i="3"/>
  <c r="DV46" i="3"/>
  <c r="U108" i="3" s="1"/>
  <c r="DU155" i="3"/>
  <c r="DV158" i="3"/>
  <c r="U220" i="3" s="1"/>
  <c r="DU44" i="3"/>
  <c r="DV169" i="3"/>
  <c r="U231" i="3" s="1"/>
  <c r="DV28" i="3"/>
  <c r="U90" i="3" s="1"/>
  <c r="DU50" i="3"/>
  <c r="DW126" i="3"/>
  <c r="DW30" i="3"/>
  <c r="DW7" i="3"/>
  <c r="DV161" i="3"/>
  <c r="U223" i="3" s="1"/>
  <c r="DV102" i="3"/>
  <c r="U164" i="3" s="1"/>
  <c r="DV67" i="3"/>
  <c r="U129" i="3" s="1"/>
  <c r="DW83" i="3"/>
  <c r="DU148" i="3"/>
  <c r="DU65" i="3"/>
  <c r="DU100" i="3"/>
  <c r="DV26" i="3"/>
  <c r="U88" i="3" s="1"/>
  <c r="DU169" i="3"/>
  <c r="DW28" i="3"/>
  <c r="DW148" i="3"/>
  <c r="DW133" i="3"/>
  <c r="DW40" i="3"/>
  <c r="DV125" i="3"/>
  <c r="U187" i="3" s="1"/>
  <c r="DV21" i="3"/>
  <c r="U83" i="3" s="1"/>
  <c r="DU124" i="3"/>
  <c r="DV53" i="3"/>
  <c r="U115" i="3" s="1"/>
  <c r="DV140" i="3"/>
  <c r="U202" i="3" s="1"/>
  <c r="DU143" i="3"/>
  <c r="DU28" i="3"/>
  <c r="CZ12" i="3"/>
  <c r="DA12" i="3"/>
  <c r="CZ6" i="3"/>
  <c r="DA6" i="3"/>
  <c r="CZ22" i="3"/>
  <c r="DA22" i="3"/>
  <c r="CZ15" i="3"/>
  <c r="DA15" i="3"/>
  <c r="GR44" i="3" l="1"/>
  <c r="GZ4" i="3"/>
  <c r="A28" i="3" s="1"/>
  <c r="CX24" i="3"/>
  <c r="CY24" i="3" s="1"/>
  <c r="CW24" i="3"/>
  <c r="CW27" i="3"/>
  <c r="CX27" i="3"/>
  <c r="CY27" i="3" s="1"/>
  <c r="CW29" i="3"/>
  <c r="CX29" i="3"/>
  <c r="CY29" i="3" s="1"/>
  <c r="CW25" i="3"/>
  <c r="CX25" i="3"/>
  <c r="CY25" i="3" s="1"/>
  <c r="CX28" i="3"/>
  <c r="CY28" i="3" s="1"/>
  <c r="CW28" i="3"/>
  <c r="CX30" i="3"/>
  <c r="CY30" i="3" s="1"/>
  <c r="CW30" i="3"/>
  <c r="CX26" i="3"/>
  <c r="CY26" i="3" s="1"/>
  <c r="CW26" i="3"/>
  <c r="CT31" i="3"/>
  <c r="CW8" i="3"/>
  <c r="CX8" i="3"/>
  <c r="CY8" i="3" s="1"/>
  <c r="CX20" i="3"/>
  <c r="CY20" i="3" s="1"/>
  <c r="CW20" i="3"/>
  <c r="CW16" i="3"/>
  <c r="CV31" i="3"/>
  <c r="CX16" i="3"/>
  <c r="CY16" i="3" s="1"/>
  <c r="FH104" i="3"/>
  <c r="FF104" i="3" s="1"/>
  <c r="GL103" i="3"/>
  <c r="GD103" i="3"/>
  <c r="S166" i="3"/>
  <c r="GL153" i="3"/>
  <c r="FH154" i="3"/>
  <c r="FF154" i="3" s="1"/>
  <c r="GD153" i="3"/>
  <c r="S216" i="3"/>
  <c r="GL123" i="3"/>
  <c r="S186" i="3"/>
  <c r="GD123" i="3"/>
  <c r="FH124" i="3"/>
  <c r="GL154" i="3"/>
  <c r="GD154" i="3"/>
  <c r="FH155" i="3"/>
  <c r="S217" i="3"/>
  <c r="GL182" i="3"/>
  <c r="GD182" i="3"/>
  <c r="FH183" i="3"/>
  <c r="S245" i="3"/>
  <c r="GL25" i="3"/>
  <c r="S88" i="3"/>
  <c r="GD25" i="3"/>
  <c r="FH26" i="3"/>
  <c r="GL10" i="3"/>
  <c r="S73" i="3"/>
  <c r="FH11" i="3"/>
  <c r="GD10" i="3"/>
  <c r="S79" i="3"/>
  <c r="GD16" i="3"/>
  <c r="GL16" i="3"/>
  <c r="FH17" i="3"/>
  <c r="GL68" i="3"/>
  <c r="GD68" i="3"/>
  <c r="S131" i="3"/>
  <c r="FH69" i="3"/>
  <c r="GL26" i="3"/>
  <c r="GD26" i="3"/>
  <c r="FH27" i="3"/>
  <c r="S89" i="3"/>
  <c r="GD59" i="3"/>
  <c r="S122" i="3"/>
  <c r="FH60" i="3"/>
  <c r="GL59" i="3"/>
  <c r="GL129" i="3"/>
  <c r="S192" i="3"/>
  <c r="GD129" i="3"/>
  <c r="FH130" i="3"/>
  <c r="GL78" i="3"/>
  <c r="S141" i="3"/>
  <c r="FH79" i="3"/>
  <c r="GD78" i="3"/>
  <c r="S197" i="3"/>
  <c r="GL134" i="3"/>
  <c r="GD134" i="3"/>
  <c r="FH135" i="3"/>
  <c r="GL42" i="3"/>
  <c r="GD42" i="3"/>
  <c r="S105" i="3"/>
  <c r="FH43" i="3"/>
  <c r="GL64" i="3"/>
  <c r="GD64" i="3"/>
  <c r="S127" i="3"/>
  <c r="FH65" i="3"/>
  <c r="GD43" i="3"/>
  <c r="GL43" i="3"/>
  <c r="FH44" i="3"/>
  <c r="S106" i="3"/>
  <c r="GL30" i="3"/>
  <c r="S93" i="3"/>
  <c r="FH31" i="3"/>
  <c r="GD30" i="3"/>
  <c r="GD77" i="3"/>
  <c r="S140" i="3"/>
  <c r="FH78" i="3"/>
  <c r="GL77" i="3"/>
  <c r="S198" i="3"/>
  <c r="GD135" i="3"/>
  <c r="GL135" i="3"/>
  <c r="FH136" i="3"/>
  <c r="S139" i="3"/>
  <c r="FH77" i="3"/>
  <c r="GL76" i="3"/>
  <c r="GD76" i="3"/>
  <c r="S132" i="3"/>
  <c r="GD69" i="3"/>
  <c r="FH70" i="3"/>
  <c r="GL69" i="3"/>
  <c r="GL14" i="3"/>
  <c r="S77" i="3"/>
  <c r="FH15" i="3"/>
  <c r="GD14" i="3"/>
  <c r="GD152" i="3"/>
  <c r="GL152" i="3"/>
  <c r="S215" i="3"/>
  <c r="FH153" i="3"/>
  <c r="S72" i="3"/>
  <c r="GD9" i="3"/>
  <c r="GL9" i="3"/>
  <c r="FH10" i="3"/>
  <c r="S81" i="3"/>
  <c r="GD18" i="3"/>
  <c r="FH19" i="3"/>
  <c r="GL18" i="3"/>
  <c r="GD108" i="3"/>
  <c r="GL108" i="3"/>
  <c r="S171" i="3"/>
  <c r="FH109" i="3"/>
  <c r="S111" i="3"/>
  <c r="GD48" i="3"/>
  <c r="GL48" i="3"/>
  <c r="FH49" i="3"/>
  <c r="S95" i="3"/>
  <c r="GD32" i="3"/>
  <c r="FH33" i="3"/>
  <c r="GL32" i="3"/>
  <c r="S135" i="3"/>
  <c r="GL72" i="3"/>
  <c r="GD72" i="3"/>
  <c r="FH73" i="3"/>
  <c r="S104" i="3"/>
  <c r="GL41" i="3"/>
  <c r="GD41" i="3"/>
  <c r="FH42" i="3"/>
  <c r="GD136" i="3"/>
  <c r="GL136" i="3"/>
  <c r="S199" i="3"/>
  <c r="FH137" i="3"/>
  <c r="S167" i="3"/>
  <c r="GD104" i="3"/>
  <c r="FH105" i="3"/>
  <c r="GL104" i="3"/>
  <c r="GD65" i="3"/>
  <c r="GL65" i="3"/>
  <c r="FH66" i="3"/>
  <c r="S128" i="3"/>
  <c r="GD143" i="3"/>
  <c r="GL143" i="3"/>
  <c r="S206" i="3"/>
  <c r="FH144" i="3"/>
  <c r="GD171" i="3"/>
  <c r="FH172" i="3"/>
  <c r="GL171" i="3"/>
  <c r="S234" i="3"/>
  <c r="GD83" i="3"/>
  <c r="GL83" i="3"/>
  <c r="FH84" i="3"/>
  <c r="S146" i="3"/>
  <c r="GD63" i="3"/>
  <c r="S126" i="3"/>
  <c r="GL63" i="3"/>
  <c r="FH64" i="3"/>
  <c r="S191" i="3"/>
  <c r="GD128" i="3"/>
  <c r="GL128" i="3"/>
  <c r="FH129" i="3"/>
  <c r="GD179" i="3"/>
  <c r="GL179" i="3"/>
  <c r="S242" i="3"/>
  <c r="FH180" i="3"/>
  <c r="GD109" i="3"/>
  <c r="S172" i="3"/>
  <c r="GL109" i="3"/>
  <c r="FH110" i="3"/>
  <c r="S96" i="3"/>
  <c r="GD33" i="3"/>
  <c r="GL33" i="3"/>
  <c r="FH34" i="3"/>
  <c r="S147" i="3"/>
  <c r="GD84" i="3"/>
  <c r="FH85" i="3"/>
  <c r="GL84" i="3"/>
  <c r="GD170" i="3"/>
  <c r="S233" i="3"/>
  <c r="FH171" i="3"/>
  <c r="GL170" i="3"/>
  <c r="GL40" i="3"/>
  <c r="GD40" i="3"/>
  <c r="S103" i="3"/>
  <c r="FH41" i="3"/>
  <c r="S78" i="3"/>
  <c r="GL15" i="3"/>
  <c r="GD15" i="3"/>
  <c r="FH16" i="3"/>
  <c r="S181" i="3"/>
  <c r="GL118" i="3"/>
  <c r="GD118" i="3"/>
  <c r="FH119" i="3"/>
  <c r="S177" i="3"/>
  <c r="GD114" i="3"/>
  <c r="GL114" i="3"/>
  <c r="FH115" i="3"/>
  <c r="GD156" i="3"/>
  <c r="GL156" i="3"/>
  <c r="S219" i="3"/>
  <c r="FH157" i="3"/>
  <c r="GL46" i="3"/>
  <c r="GD46" i="3"/>
  <c r="FH47" i="3"/>
  <c r="S109" i="3"/>
  <c r="S180" i="3"/>
  <c r="GL117" i="3"/>
  <c r="GD117" i="3"/>
  <c r="FH118" i="3"/>
  <c r="GL144" i="3"/>
  <c r="S207" i="3"/>
  <c r="FH145" i="3"/>
  <c r="GD144" i="3"/>
  <c r="GL175" i="3"/>
  <c r="S238" i="3"/>
  <c r="FH176" i="3"/>
  <c r="GD175" i="3"/>
  <c r="GL148" i="3"/>
  <c r="GD148" i="3"/>
  <c r="S211" i="3"/>
  <c r="FH149" i="3"/>
  <c r="GL90" i="3"/>
  <c r="GD90" i="3"/>
  <c r="S153" i="3"/>
  <c r="FH91" i="3"/>
  <c r="GD168" i="3"/>
  <c r="S231" i="3"/>
  <c r="GL168" i="3"/>
  <c r="FH169" i="3"/>
  <c r="GD147" i="3"/>
  <c r="GL147" i="3"/>
  <c r="S210" i="3"/>
  <c r="FH148" i="3"/>
  <c r="GL49" i="3"/>
  <c r="GD49" i="3"/>
  <c r="FH50" i="3"/>
  <c r="S112" i="3"/>
  <c r="S129" i="3"/>
  <c r="GL66" i="3"/>
  <c r="FH67" i="3"/>
  <c r="GD66" i="3"/>
  <c r="S220" i="3"/>
  <c r="GL157" i="3"/>
  <c r="GD157" i="3"/>
  <c r="FH158" i="3"/>
  <c r="S223" i="3"/>
  <c r="GD160" i="3"/>
  <c r="GL160" i="3"/>
  <c r="FH161" i="3"/>
  <c r="GL34" i="3"/>
  <c r="GD34" i="3"/>
  <c r="S97" i="3"/>
  <c r="FH35" i="3"/>
  <c r="S225" i="3"/>
  <c r="GD162" i="3"/>
  <c r="GL162" i="3"/>
  <c r="FH163" i="3"/>
  <c r="GL22" i="3"/>
  <c r="FH23" i="3"/>
  <c r="GD22" i="3"/>
  <c r="S85" i="3"/>
  <c r="GD62" i="3"/>
  <c r="GL62" i="3"/>
  <c r="S125" i="3"/>
  <c r="FH63" i="3"/>
  <c r="GL7" i="3"/>
  <c r="S70" i="3"/>
  <c r="GD7" i="3"/>
  <c r="FH8" i="3"/>
  <c r="GL164" i="3"/>
  <c r="GD164" i="3"/>
  <c r="FH165" i="3"/>
  <c r="S227" i="3"/>
  <c r="GL52" i="3"/>
  <c r="GD52" i="3"/>
  <c r="S115" i="3"/>
  <c r="FH53" i="3"/>
  <c r="GD126" i="3"/>
  <c r="S189" i="3"/>
  <c r="GL126" i="3"/>
  <c r="FH127" i="3"/>
  <c r="S243" i="3"/>
  <c r="GL180" i="3"/>
  <c r="FH181" i="3"/>
  <c r="GD180" i="3"/>
  <c r="GD54" i="3"/>
  <c r="S117" i="3"/>
  <c r="FH55" i="3"/>
  <c r="GL54" i="3"/>
  <c r="S239" i="3"/>
  <c r="GD176" i="3"/>
  <c r="GL176" i="3"/>
  <c r="FH177" i="3"/>
  <c r="GD155" i="3"/>
  <c r="S218" i="3"/>
  <c r="GL155" i="3"/>
  <c r="FH156" i="3"/>
  <c r="GD132" i="3"/>
  <c r="GL132" i="3"/>
  <c r="FH133" i="3"/>
  <c r="S195" i="3"/>
  <c r="S148" i="3"/>
  <c r="GL85" i="3"/>
  <c r="GD85" i="3"/>
  <c r="FH86" i="3"/>
  <c r="S179" i="3"/>
  <c r="GD116" i="3"/>
  <c r="GL116" i="3"/>
  <c r="FH117" i="3"/>
  <c r="GD181" i="3"/>
  <c r="S244" i="3"/>
  <c r="GL181" i="3"/>
  <c r="FH182" i="3"/>
  <c r="GL137" i="3"/>
  <c r="GD137" i="3"/>
  <c r="S200" i="3"/>
  <c r="FH138" i="3"/>
  <c r="S159" i="3"/>
  <c r="GL96" i="3"/>
  <c r="GD96" i="3"/>
  <c r="FH97" i="3"/>
  <c r="GD45" i="3"/>
  <c r="GL45" i="3"/>
  <c r="FH46" i="3"/>
  <c r="S108" i="3"/>
  <c r="S232" i="3"/>
  <c r="GL169" i="3"/>
  <c r="FH170" i="3"/>
  <c r="GD169" i="3"/>
  <c r="GD71" i="3"/>
  <c r="GL71" i="3"/>
  <c r="S134" i="3"/>
  <c r="FH72" i="3"/>
  <c r="GD125" i="3"/>
  <c r="S188" i="3"/>
  <c r="FH126" i="3"/>
  <c r="GL125" i="3"/>
  <c r="GD166" i="3"/>
  <c r="S229" i="3"/>
  <c r="FH167" i="3"/>
  <c r="GL166" i="3"/>
  <c r="S75" i="3"/>
  <c r="GL12" i="3"/>
  <c r="GD12" i="3"/>
  <c r="FH13" i="3"/>
  <c r="GL106" i="3"/>
  <c r="GD106" i="3"/>
  <c r="S169" i="3"/>
  <c r="FH107" i="3"/>
  <c r="GD150" i="3"/>
  <c r="S213" i="3"/>
  <c r="FH151" i="3"/>
  <c r="GL150" i="3"/>
  <c r="GD80" i="3"/>
  <c r="S143" i="3"/>
  <c r="GL80" i="3"/>
  <c r="FH81" i="3"/>
  <c r="GL120" i="3"/>
  <c r="S183" i="3"/>
  <c r="GD120" i="3"/>
  <c r="FH121" i="3"/>
  <c r="S99" i="3"/>
  <c r="FH37" i="3"/>
  <c r="GL36" i="3"/>
  <c r="GD36" i="3"/>
  <c r="GL79" i="3"/>
  <c r="S142" i="3"/>
  <c r="GD79" i="3"/>
  <c r="FH80" i="3"/>
  <c r="GL161" i="3"/>
  <c r="S224" i="3"/>
  <c r="FH162" i="3"/>
  <c r="GD161" i="3"/>
  <c r="S82" i="3"/>
  <c r="GL19" i="3"/>
  <c r="GD19" i="3"/>
  <c r="FH20" i="3"/>
  <c r="GD174" i="3"/>
  <c r="S237" i="3"/>
  <c r="GL174" i="3"/>
  <c r="FH175" i="3"/>
  <c r="GL81" i="3"/>
  <c r="S144" i="3"/>
  <c r="FH82" i="3"/>
  <c r="GD81" i="3"/>
  <c r="GL24" i="3"/>
  <c r="S87" i="3"/>
  <c r="GD24" i="3"/>
  <c r="FH25" i="3"/>
  <c r="S248" i="3"/>
  <c r="GL185" i="3"/>
  <c r="GD185" i="3"/>
  <c r="FH186" i="3"/>
  <c r="GD37" i="3"/>
  <c r="S100" i="3"/>
  <c r="GL37" i="3"/>
  <c r="FH38" i="3"/>
  <c r="S222" i="3"/>
  <c r="GD159" i="3"/>
  <c r="GL159" i="3"/>
  <c r="FH160" i="3"/>
  <c r="GD92" i="3"/>
  <c r="S155" i="3"/>
  <c r="GL92" i="3"/>
  <c r="FH93" i="3"/>
  <c r="GL57" i="3"/>
  <c r="GD57" i="3"/>
  <c r="S120" i="3"/>
  <c r="FH58" i="3"/>
  <c r="S90" i="3"/>
  <c r="GD27" i="3"/>
  <c r="FH28" i="3"/>
  <c r="GL27" i="3"/>
  <c r="S116" i="3"/>
  <c r="GL53" i="3"/>
  <c r="FH54" i="3"/>
  <c r="GD53" i="3"/>
  <c r="GL70" i="3"/>
  <c r="GD70" i="3"/>
  <c r="S133" i="3"/>
  <c r="FH71" i="3"/>
  <c r="GL8" i="3"/>
  <c r="FH9" i="3"/>
  <c r="S71" i="3"/>
  <c r="GD8" i="3"/>
  <c r="S240" i="3"/>
  <c r="GL177" i="3"/>
  <c r="GD177" i="3"/>
  <c r="FH178" i="3"/>
  <c r="GL17" i="3"/>
  <c r="GD17" i="3"/>
  <c r="S80" i="3"/>
  <c r="FH18" i="3"/>
  <c r="GL133" i="3"/>
  <c r="S196" i="3"/>
  <c r="FH134" i="3"/>
  <c r="GD133" i="3"/>
  <c r="GD60" i="3"/>
  <c r="S123" i="3"/>
  <c r="GL60" i="3"/>
  <c r="FH61" i="3"/>
  <c r="S69" i="3"/>
  <c r="GD6" i="3"/>
  <c r="FH7" i="3"/>
  <c r="GL6" i="3"/>
  <c r="GD145" i="3"/>
  <c r="S208" i="3"/>
  <c r="GL145" i="3"/>
  <c r="FH146" i="3"/>
  <c r="GD89" i="3"/>
  <c r="S152" i="3"/>
  <c r="FH90" i="3"/>
  <c r="GL89" i="3"/>
  <c r="S94" i="3"/>
  <c r="GD31" i="3"/>
  <c r="GL31" i="3"/>
  <c r="FH32" i="3"/>
  <c r="GL112" i="3"/>
  <c r="S175" i="3"/>
  <c r="GD112" i="3"/>
  <c r="FH113" i="3"/>
  <c r="GL82" i="3"/>
  <c r="GD82" i="3"/>
  <c r="FH83" i="3"/>
  <c r="S145" i="3"/>
  <c r="GD151" i="3"/>
  <c r="GL151" i="3"/>
  <c r="S214" i="3"/>
  <c r="FH152" i="3"/>
  <c r="FI89" i="3"/>
  <c r="FG89" i="3" s="1"/>
  <c r="FI12" i="3"/>
  <c r="FG12" i="3" s="1"/>
  <c r="FI180" i="3"/>
  <c r="FG180" i="3" s="1"/>
  <c r="FI161" i="3"/>
  <c r="FG161" i="3" s="1"/>
  <c r="FI87" i="3"/>
  <c r="FG87" i="3" s="1"/>
  <c r="FI15" i="3"/>
  <c r="FG15" i="3" s="1"/>
  <c r="FI159" i="3"/>
  <c r="FG159" i="3" s="1"/>
  <c r="FI37" i="3"/>
  <c r="FG37" i="3" s="1"/>
  <c r="FI110" i="3"/>
  <c r="FG110" i="3" s="1"/>
  <c r="FI99" i="3"/>
  <c r="FG99" i="3" s="1"/>
  <c r="FI183" i="3"/>
  <c r="FG183" i="3" s="1"/>
  <c r="FI135" i="3"/>
  <c r="FG135" i="3" s="1"/>
  <c r="FI79" i="3"/>
  <c r="FG79" i="3" s="1"/>
  <c r="FI6" i="3"/>
  <c r="FG6" i="3" s="1"/>
  <c r="FI133" i="3"/>
  <c r="FG133" i="3" s="1"/>
  <c r="FI127" i="3"/>
  <c r="FG127" i="3" s="1"/>
  <c r="FI119" i="3"/>
  <c r="FG119" i="3" s="1"/>
  <c r="FI106" i="3"/>
  <c r="FG106" i="3" s="1"/>
  <c r="FI113" i="3"/>
  <c r="FG113" i="3" s="1"/>
  <c r="FI101" i="3"/>
  <c r="FG101" i="3" s="1"/>
  <c r="FI52" i="3"/>
  <c r="FG52" i="3" s="1"/>
  <c r="FI92" i="3"/>
  <c r="FG92" i="3" s="1"/>
  <c r="FI177" i="3"/>
  <c r="FG177" i="3" s="1"/>
  <c r="FI102" i="3"/>
  <c r="FG102" i="3" s="1"/>
  <c r="FI77" i="3"/>
  <c r="FG77" i="3" s="1"/>
  <c r="FI123" i="3"/>
  <c r="FG123" i="3" s="1"/>
  <c r="FI21" i="3"/>
  <c r="FG21" i="3" s="1"/>
  <c r="FI175" i="3"/>
  <c r="FG175" i="3" s="1"/>
  <c r="FI156" i="3"/>
  <c r="FG156" i="3" s="1"/>
  <c r="FI176" i="3"/>
  <c r="FG176" i="3" s="1"/>
  <c r="FI140" i="3"/>
  <c r="FG140" i="3" s="1"/>
  <c r="FI56" i="3"/>
  <c r="FG56" i="3" s="1"/>
  <c r="FI65" i="3"/>
  <c r="FG65" i="3" s="1"/>
  <c r="FI27" i="3"/>
  <c r="FG27" i="3" s="1"/>
  <c r="FI126" i="3"/>
  <c r="FG126" i="3" s="1"/>
  <c r="FI170" i="3"/>
  <c r="FG170" i="3" s="1"/>
  <c r="FI8" i="3"/>
  <c r="FG8" i="3" s="1"/>
  <c r="FI129" i="3"/>
  <c r="FG129" i="3" s="1"/>
  <c r="FI34" i="3"/>
  <c r="FG34" i="3" s="1"/>
  <c r="FI80" i="3"/>
  <c r="FG80" i="3" s="1"/>
  <c r="FI166" i="3"/>
  <c r="FG166" i="3" s="1"/>
  <c r="FI20" i="3"/>
  <c r="FG20" i="3" s="1"/>
  <c r="FI9" i="3"/>
  <c r="FG9" i="3" s="1"/>
  <c r="FI10" i="3"/>
  <c r="FG10" i="3" s="1"/>
  <c r="FI163" i="3"/>
  <c r="FG163" i="3" s="1"/>
  <c r="FI124" i="3"/>
  <c r="FG124" i="3" s="1"/>
  <c r="FI11" i="3"/>
  <c r="FG11" i="3" s="1"/>
  <c r="FI32" i="3"/>
  <c r="FG32" i="3" s="1"/>
  <c r="FI121" i="3"/>
  <c r="FG121" i="3" s="1"/>
  <c r="FI172" i="3"/>
  <c r="FG172" i="3" s="1"/>
  <c r="FI17" i="3"/>
  <c r="FG17" i="3" s="1"/>
  <c r="FI157" i="3"/>
  <c r="FG157" i="3" s="1"/>
  <c r="FI98" i="3"/>
  <c r="FG98" i="3" s="1"/>
  <c r="FI84" i="3"/>
  <c r="FG84" i="3" s="1"/>
  <c r="FI30" i="3"/>
  <c r="FG30" i="3" s="1"/>
  <c r="FI88" i="3"/>
  <c r="FG88" i="3" s="1"/>
  <c r="FI51" i="3"/>
  <c r="FG51" i="3" s="1"/>
  <c r="FI57" i="3"/>
  <c r="FG57" i="3" s="1"/>
  <c r="FI100" i="3"/>
  <c r="FG100" i="3" s="1"/>
  <c r="FI14" i="3"/>
  <c r="FG14" i="3" s="1"/>
  <c r="FI49" i="3"/>
  <c r="FG49" i="3" s="1"/>
  <c r="FI128" i="3"/>
  <c r="FG128" i="3" s="1"/>
  <c r="FI67" i="3"/>
  <c r="FG67" i="3" s="1"/>
  <c r="FI42" i="3"/>
  <c r="FG42" i="3" s="1"/>
  <c r="FI103" i="3"/>
  <c r="FG103" i="3" s="1"/>
  <c r="FI53" i="3"/>
  <c r="FG53" i="3" s="1"/>
  <c r="FI58" i="3"/>
  <c r="FG58" i="3" s="1"/>
  <c r="FI66" i="3"/>
  <c r="FG66" i="3" s="1"/>
  <c r="FI48" i="3"/>
  <c r="FG48" i="3" s="1"/>
  <c r="FI137" i="3"/>
  <c r="FG137" i="3" s="1"/>
  <c r="FI83" i="3"/>
  <c r="FG83" i="3" s="1"/>
  <c r="FI19" i="3"/>
  <c r="FG19" i="3" s="1"/>
  <c r="FI169" i="3"/>
  <c r="FG169" i="3" s="1"/>
  <c r="FI142" i="3"/>
  <c r="FG142" i="3" s="1"/>
  <c r="FI164" i="3"/>
  <c r="FG164" i="3" s="1"/>
  <c r="FI94" i="3"/>
  <c r="FG94" i="3" s="1"/>
  <c r="FI122" i="3"/>
  <c r="FG122" i="3" s="1"/>
  <c r="FI35" i="3"/>
  <c r="FG35" i="3" s="1"/>
  <c r="FI130" i="3"/>
  <c r="FG130" i="3" s="1"/>
  <c r="FI61" i="3"/>
  <c r="FG61" i="3" s="1"/>
  <c r="FI72" i="3"/>
  <c r="FG72" i="3" s="1"/>
  <c r="FI107" i="3"/>
  <c r="FG107" i="3" s="1"/>
  <c r="FI131" i="3"/>
  <c r="FG131" i="3" s="1"/>
  <c r="FI117" i="3"/>
  <c r="FG117" i="3" s="1"/>
  <c r="FI112" i="3"/>
  <c r="FG112" i="3" s="1"/>
  <c r="FI24" i="3"/>
  <c r="FG24" i="3" s="1"/>
  <c r="FI132" i="3"/>
  <c r="FG132" i="3" s="1"/>
  <c r="FI118" i="3"/>
  <c r="FG118" i="3" s="1"/>
  <c r="FI149" i="3"/>
  <c r="FG149" i="3" s="1"/>
  <c r="FI33" i="3"/>
  <c r="FG33" i="3" s="1"/>
  <c r="FI108" i="3"/>
  <c r="FG108" i="3" s="1"/>
  <c r="FI71" i="3"/>
  <c r="FG71" i="3" s="1"/>
  <c r="FI116" i="3"/>
  <c r="FG116" i="3" s="1"/>
  <c r="FI152" i="3"/>
  <c r="FG152" i="3" s="1"/>
  <c r="FI50" i="3"/>
  <c r="FG50" i="3" s="1"/>
  <c r="FI18" i="3"/>
  <c r="FG18" i="3" s="1"/>
  <c r="FI120" i="3"/>
  <c r="FG120" i="3" s="1"/>
  <c r="FI153" i="3"/>
  <c r="FG153" i="3" s="1"/>
  <c r="FI55" i="3"/>
  <c r="FG55" i="3" s="1"/>
  <c r="FI60" i="3"/>
  <c r="FG60" i="3" s="1"/>
  <c r="FI13" i="3"/>
  <c r="FG13" i="3" s="1"/>
  <c r="FI168" i="3"/>
  <c r="FG168" i="3" s="1"/>
  <c r="FI91" i="3"/>
  <c r="FG91" i="3" s="1"/>
  <c r="FI147" i="3"/>
  <c r="FG147" i="3" s="1"/>
  <c r="FI165" i="3"/>
  <c r="FG165" i="3" s="1"/>
  <c r="FI105" i="3"/>
  <c r="FG105" i="3" s="1"/>
  <c r="FI146" i="3"/>
  <c r="FG146" i="3" s="1"/>
  <c r="FI150" i="3"/>
  <c r="FG150" i="3" s="1"/>
  <c r="FI68" i="3"/>
  <c r="FG68" i="3" s="1"/>
  <c r="FI31" i="3"/>
  <c r="FG31" i="3" s="1"/>
  <c r="FI178" i="3"/>
  <c r="FG178" i="3" s="1"/>
  <c r="FI111" i="3"/>
  <c r="FG111" i="3" s="1"/>
  <c r="FI28" i="3"/>
  <c r="FG28" i="3" s="1"/>
  <c r="FI114" i="3"/>
  <c r="FG114" i="3" s="1"/>
  <c r="FI22" i="3"/>
  <c r="FG22" i="3" s="1"/>
  <c r="FI144" i="3"/>
  <c r="FG144" i="3" s="1"/>
  <c r="FI76" i="3"/>
  <c r="FG76" i="3" s="1"/>
  <c r="FI181" i="3"/>
  <c r="FG181" i="3" s="1"/>
  <c r="FI70" i="3"/>
  <c r="FG70" i="3" s="1"/>
  <c r="FI41" i="3"/>
  <c r="FG41" i="3" s="1"/>
  <c r="FI173" i="3"/>
  <c r="FG173" i="3" s="1"/>
  <c r="FI25" i="3"/>
  <c r="FG25" i="3" s="1"/>
  <c r="FI62" i="3"/>
  <c r="FG62" i="3" s="1"/>
  <c r="FI141" i="3"/>
  <c r="FG141" i="3" s="1"/>
  <c r="FI73" i="3"/>
  <c r="FG73" i="3" s="1"/>
  <c r="FI26" i="3"/>
  <c r="FG26" i="3" s="1"/>
  <c r="FI44" i="3"/>
  <c r="FG44" i="3" s="1"/>
  <c r="FI162" i="3"/>
  <c r="FG162" i="3" s="1"/>
  <c r="FI158" i="3"/>
  <c r="FG158" i="3" s="1"/>
  <c r="FI63" i="3"/>
  <c r="FG63" i="3" s="1"/>
  <c r="FI90" i="3"/>
  <c r="FG90" i="3" s="1"/>
  <c r="FI59" i="3"/>
  <c r="FG59" i="3" s="1"/>
  <c r="FI81" i="3"/>
  <c r="FG81" i="3" s="1"/>
  <c r="FI171" i="3"/>
  <c r="FG171" i="3" s="1"/>
  <c r="FI23" i="3"/>
  <c r="FG23" i="3" s="1"/>
  <c r="FI46" i="3"/>
  <c r="FG46" i="3" s="1"/>
  <c r="FI154" i="3"/>
  <c r="FI40" i="3"/>
  <c r="FG40" i="3" s="1"/>
  <c r="FI104" i="3"/>
  <c r="FI78" i="3"/>
  <c r="FG78" i="3" s="1"/>
  <c r="FI139" i="3"/>
  <c r="FG139" i="3" s="1"/>
  <c r="FI97" i="3"/>
  <c r="FG97" i="3" s="1"/>
  <c r="FI29" i="3"/>
  <c r="FG29" i="3" s="1"/>
  <c r="FI151" i="3"/>
  <c r="FG151" i="3" s="1"/>
  <c r="FI182" i="3"/>
  <c r="FG182" i="3" s="1"/>
  <c r="FI64" i="3"/>
  <c r="FG64" i="3" s="1"/>
  <c r="FI95" i="3"/>
  <c r="FG95" i="3" s="1"/>
  <c r="FI82" i="3"/>
  <c r="FG82" i="3" s="1"/>
  <c r="FI69" i="3"/>
  <c r="FG69" i="3" s="1"/>
  <c r="FI115" i="3"/>
  <c r="FG115" i="3" s="1"/>
  <c r="FI179" i="3"/>
  <c r="FG179" i="3" s="1"/>
  <c r="FI39" i="3"/>
  <c r="FG39" i="3" s="1"/>
  <c r="FI185" i="3"/>
  <c r="FG185" i="3" s="1"/>
  <c r="FI143" i="3"/>
  <c r="FG143" i="3" s="1"/>
  <c r="FI38" i="3"/>
  <c r="FG38" i="3" s="1"/>
  <c r="FI186" i="3"/>
  <c r="FG186" i="3" s="1"/>
  <c r="FI45" i="3"/>
  <c r="FG45" i="3" s="1"/>
  <c r="FI145" i="3"/>
  <c r="FG145" i="3" s="1"/>
  <c r="FI125" i="3"/>
  <c r="FG125" i="3" s="1"/>
  <c r="FI155" i="3"/>
  <c r="FG155" i="3" s="1"/>
  <c r="FI96" i="3"/>
  <c r="FG96" i="3" s="1"/>
  <c r="FI138" i="3"/>
  <c r="FG138" i="3" s="1"/>
  <c r="FI43" i="3"/>
  <c r="FG43" i="3" s="1"/>
  <c r="FI54" i="3"/>
  <c r="FG54" i="3" s="1"/>
  <c r="FI167" i="3"/>
  <c r="FG167" i="3" s="1"/>
  <c r="FI7" i="3"/>
  <c r="FG7" i="3" s="1"/>
  <c r="FI184" i="3"/>
  <c r="FG184" i="3" s="1"/>
  <c r="FI160" i="3"/>
  <c r="FG160" i="3" s="1"/>
  <c r="FI74" i="3"/>
  <c r="FG74" i="3" s="1"/>
  <c r="FI86" i="3"/>
  <c r="FG86" i="3" s="1"/>
  <c r="FI85" i="3"/>
  <c r="FG85" i="3" s="1"/>
  <c r="FI148" i="3"/>
  <c r="FG148" i="3" s="1"/>
  <c r="FI75" i="3"/>
  <c r="FG75" i="3" s="1"/>
  <c r="FI16" i="3"/>
  <c r="FG16" i="3" s="1"/>
  <c r="FI93" i="3"/>
  <c r="FG93" i="3" s="1"/>
  <c r="FI136" i="3"/>
  <c r="FG136" i="3" s="1"/>
  <c r="FI174" i="3"/>
  <c r="FG174" i="3" s="1"/>
  <c r="FI36" i="3"/>
  <c r="FG36" i="3" s="1"/>
  <c r="FI134" i="3"/>
  <c r="FG134" i="3" s="1"/>
  <c r="FI47" i="3"/>
  <c r="FG47" i="3" s="1"/>
  <c r="FI109" i="3"/>
  <c r="FG109" i="3" s="1"/>
  <c r="S212" i="3"/>
  <c r="GD149" i="3"/>
  <c r="GL149" i="3"/>
  <c r="FH150" i="3"/>
  <c r="S161" i="3"/>
  <c r="GD98" i="3"/>
  <c r="GL98" i="3"/>
  <c r="FH99" i="3"/>
  <c r="GD86" i="3"/>
  <c r="GL86" i="3"/>
  <c r="S149" i="3"/>
  <c r="FH87" i="3"/>
  <c r="S110" i="3"/>
  <c r="GD47" i="3"/>
  <c r="GL47" i="3"/>
  <c r="FH48" i="3"/>
  <c r="GD51" i="3"/>
  <c r="GL51" i="3"/>
  <c r="S114" i="3"/>
  <c r="FH52" i="3"/>
  <c r="S136" i="3"/>
  <c r="FH74" i="3"/>
  <c r="GD73" i="3"/>
  <c r="GL73" i="3"/>
  <c r="S164" i="3"/>
  <c r="GD101" i="3"/>
  <c r="GL101" i="3"/>
  <c r="FH102" i="3"/>
  <c r="GL167" i="3"/>
  <c r="GD167" i="3"/>
  <c r="S230" i="3"/>
  <c r="FH168" i="3"/>
  <c r="S137" i="3"/>
  <c r="GD74" i="3"/>
  <c r="FH75" i="3"/>
  <c r="GL74" i="3"/>
  <c r="GL131" i="3"/>
  <c r="GD131" i="3"/>
  <c r="S194" i="3"/>
  <c r="FH132" i="3"/>
  <c r="GD23" i="3"/>
  <c r="GL23" i="3"/>
  <c r="S86" i="3"/>
  <c r="FH24" i="3"/>
  <c r="S168" i="3"/>
  <c r="GD105" i="3"/>
  <c r="GL105" i="3"/>
  <c r="FH106" i="3"/>
  <c r="S118" i="3"/>
  <c r="FH56" i="3"/>
  <c r="GL55" i="3"/>
  <c r="GD55" i="3"/>
  <c r="S203" i="3"/>
  <c r="GD140" i="3"/>
  <c r="GL140" i="3"/>
  <c r="FH141" i="3"/>
  <c r="GD172" i="3"/>
  <c r="GL172" i="3"/>
  <c r="FH173" i="3"/>
  <c r="S235" i="3"/>
  <c r="GD113" i="3"/>
  <c r="GL113" i="3"/>
  <c r="S176" i="3"/>
  <c r="FH114" i="3"/>
  <c r="GD158" i="3"/>
  <c r="GL158" i="3"/>
  <c r="S221" i="3"/>
  <c r="FH159" i="3"/>
  <c r="S247" i="3"/>
  <c r="GL184" i="3"/>
  <c r="GD184" i="3"/>
  <c r="FH185" i="3"/>
  <c r="GL146" i="3"/>
  <c r="GD146" i="3"/>
  <c r="S209" i="3"/>
  <c r="FH147" i="3"/>
  <c r="S157" i="3"/>
  <c r="GD94" i="3"/>
  <c r="FH95" i="3"/>
  <c r="GL94" i="3"/>
  <c r="GD142" i="3"/>
  <c r="S205" i="3"/>
  <c r="GL142" i="3"/>
  <c r="FH143" i="3"/>
  <c r="S162" i="3"/>
  <c r="GL99" i="3"/>
  <c r="FH100" i="3"/>
  <c r="GD99" i="3"/>
  <c r="S201" i="3"/>
  <c r="GD138" i="3"/>
  <c r="GL138" i="3"/>
  <c r="FH139" i="3"/>
  <c r="GD141" i="3"/>
  <c r="S204" i="3"/>
  <c r="FH142" i="3"/>
  <c r="GL141" i="3"/>
  <c r="GL122" i="3"/>
  <c r="S185" i="3"/>
  <c r="GD122" i="3"/>
  <c r="FH123" i="3"/>
  <c r="S193" i="3"/>
  <c r="GL130" i="3"/>
  <c r="FH131" i="3"/>
  <c r="GD130" i="3"/>
  <c r="S173" i="3"/>
  <c r="GD110" i="3"/>
  <c r="GL110" i="3"/>
  <c r="FH111" i="3"/>
  <c r="GL39" i="3"/>
  <c r="GD39" i="3"/>
  <c r="S102" i="3"/>
  <c r="FH40" i="3"/>
  <c r="GD67" i="3"/>
  <c r="S130" i="3"/>
  <c r="FH68" i="3"/>
  <c r="GL67" i="3"/>
  <c r="GD111" i="3"/>
  <c r="GL111" i="3"/>
  <c r="FH112" i="3"/>
  <c r="S174" i="3"/>
  <c r="S178" i="3"/>
  <c r="GL115" i="3"/>
  <c r="FH116" i="3"/>
  <c r="GD115" i="3"/>
  <c r="S190" i="3"/>
  <c r="GD127" i="3"/>
  <c r="GL127" i="3"/>
  <c r="FH128" i="3"/>
  <c r="S160" i="3"/>
  <c r="GD97" i="3"/>
  <c r="GL97" i="3"/>
  <c r="FH98" i="3"/>
  <c r="GD29" i="3"/>
  <c r="GL29" i="3"/>
  <c r="FH30" i="3"/>
  <c r="S92" i="3"/>
  <c r="S236" i="3"/>
  <c r="GD173" i="3"/>
  <c r="FH174" i="3"/>
  <c r="GL173" i="3"/>
  <c r="S121" i="3"/>
  <c r="GD58" i="3"/>
  <c r="FH59" i="3"/>
  <c r="GL58" i="3"/>
  <c r="GL11" i="3"/>
  <c r="GD11" i="3"/>
  <c r="FH12" i="3"/>
  <c r="S74" i="3"/>
  <c r="GD44" i="3"/>
  <c r="GL44" i="3"/>
  <c r="FH45" i="3"/>
  <c r="S107" i="3"/>
  <c r="GL5" i="3"/>
  <c r="DY9" i="3"/>
  <c r="DY40" i="3"/>
  <c r="DY63" i="3"/>
  <c r="DY30" i="3"/>
  <c r="DY69" i="3"/>
  <c r="DY70" i="3"/>
  <c r="DY33" i="3"/>
  <c r="GD5" i="3"/>
  <c r="FH6" i="3"/>
  <c r="DY6" i="3"/>
  <c r="DY65" i="3"/>
  <c r="DY29" i="3"/>
  <c r="DY24" i="3"/>
  <c r="DY22" i="3"/>
  <c r="DY78" i="3"/>
  <c r="DY79" i="3" s="1"/>
  <c r="DY80" i="3" s="1"/>
  <c r="DY81" i="3" s="1"/>
  <c r="DY82" i="3" s="1"/>
  <c r="DY83" i="3" s="1"/>
  <c r="DY84" i="3" s="1"/>
  <c r="DY85" i="3" s="1"/>
  <c r="DY86" i="3" s="1"/>
  <c r="DY87" i="3" s="1"/>
  <c r="DY88" i="3" s="1"/>
  <c r="DY89" i="3" s="1"/>
  <c r="DY90" i="3" s="1"/>
  <c r="DY91" i="3" s="1"/>
  <c r="DY92" i="3" s="1"/>
  <c r="DY93" i="3" s="1"/>
  <c r="DY94" i="3" s="1"/>
  <c r="DY95" i="3" s="1"/>
  <c r="DY96" i="3" s="1"/>
  <c r="DY97" i="3" s="1"/>
  <c r="DY98" i="3" s="1"/>
  <c r="DY99" i="3" s="1"/>
  <c r="DY100" i="3" s="1"/>
  <c r="DY101" i="3" s="1"/>
  <c r="DY102" i="3" s="1"/>
  <c r="DY103" i="3" s="1"/>
  <c r="DY104" i="3" s="1"/>
  <c r="DY105" i="3" s="1"/>
  <c r="DY106" i="3" s="1"/>
  <c r="DY107" i="3" s="1"/>
  <c r="DY108" i="3" s="1"/>
  <c r="DY109" i="3" s="1"/>
  <c r="DY110" i="3" s="1"/>
  <c r="DY111" i="3" s="1"/>
  <c r="DY112" i="3" s="1"/>
  <c r="DY113" i="3" s="1"/>
  <c r="DY114" i="3" s="1"/>
  <c r="DY115" i="3" s="1"/>
  <c r="DY116" i="3" s="1"/>
  <c r="DY117" i="3" s="1"/>
  <c r="DY118" i="3" s="1"/>
  <c r="DY119" i="3" s="1"/>
  <c r="DY120" i="3" s="1"/>
  <c r="DY121" i="3" s="1"/>
  <c r="DY122" i="3" s="1"/>
  <c r="DY123" i="3" s="1"/>
  <c r="DY124" i="3" s="1"/>
  <c r="DY125" i="3" s="1"/>
  <c r="DY126" i="3" s="1"/>
  <c r="DY127" i="3" s="1"/>
  <c r="DY128" i="3" s="1"/>
  <c r="DY129" i="3" s="1"/>
  <c r="DY130" i="3" s="1"/>
  <c r="DY131" i="3" s="1"/>
  <c r="DY132" i="3" s="1"/>
  <c r="DY133" i="3" s="1"/>
  <c r="DY134" i="3" s="1"/>
  <c r="DY135" i="3" s="1"/>
  <c r="DY136" i="3" s="1"/>
  <c r="DY137" i="3" s="1"/>
  <c r="DY138" i="3" s="1"/>
  <c r="DY139" i="3" s="1"/>
  <c r="DY140" i="3" s="1"/>
  <c r="DY141" i="3" s="1"/>
  <c r="DY142" i="3" s="1"/>
  <c r="DY143" i="3" s="1"/>
  <c r="DY144" i="3" s="1"/>
  <c r="DY145" i="3" s="1"/>
  <c r="DY146" i="3" s="1"/>
  <c r="DY147" i="3" s="1"/>
  <c r="DY148" i="3" s="1"/>
  <c r="DY149" i="3" s="1"/>
  <c r="DY150" i="3" s="1"/>
  <c r="DY151" i="3" s="1"/>
  <c r="DY152" i="3" s="1"/>
  <c r="DY153" i="3" s="1"/>
  <c r="DY154" i="3" s="1"/>
  <c r="DY155" i="3" s="1"/>
  <c r="DY156" i="3" s="1"/>
  <c r="DY157" i="3" s="1"/>
  <c r="DY158" i="3" s="1"/>
  <c r="DY159" i="3" s="1"/>
  <c r="DY160" i="3" s="1"/>
  <c r="DY161" i="3" s="1"/>
  <c r="DY162" i="3" s="1"/>
  <c r="DY163" i="3" s="1"/>
  <c r="DY164" i="3" s="1"/>
  <c r="DY165" i="3" s="1"/>
  <c r="DY166" i="3" s="1"/>
  <c r="DY167" i="3" s="1"/>
  <c r="DY168" i="3" s="1"/>
  <c r="DY169" i="3" s="1"/>
  <c r="DY170" i="3" s="1"/>
  <c r="DY171" i="3" s="1"/>
  <c r="DY172" i="3" s="1"/>
  <c r="DY173" i="3" s="1"/>
  <c r="DY174" i="3" s="1"/>
  <c r="DY175" i="3" s="1"/>
  <c r="DY176" i="3" s="1"/>
  <c r="DY177" i="3" s="1"/>
  <c r="DY178" i="3" s="1"/>
  <c r="DY179" i="3" s="1"/>
  <c r="DY180" i="3" s="1"/>
  <c r="DY181" i="3" s="1"/>
  <c r="DY182" i="3" s="1"/>
  <c r="DY183" i="3" s="1"/>
  <c r="DY184" i="3" s="1"/>
  <c r="DY185" i="3" s="1"/>
  <c r="DY186" i="3" s="1"/>
  <c r="DY51" i="3"/>
  <c r="DY35" i="3"/>
  <c r="DY27" i="3"/>
  <c r="DY20" i="3"/>
  <c r="DY46" i="3"/>
  <c r="DY48" i="3"/>
  <c r="DY58" i="3"/>
  <c r="DY74" i="3"/>
  <c r="DY49" i="3"/>
  <c r="DY28" i="3"/>
  <c r="DY52" i="3"/>
  <c r="DY55" i="3"/>
  <c r="DY41" i="3"/>
  <c r="DY50" i="3"/>
  <c r="DY68" i="3"/>
  <c r="DY39" i="3"/>
  <c r="DY54" i="3"/>
  <c r="DY76" i="3"/>
  <c r="DY47" i="3"/>
  <c r="DY75" i="3"/>
  <c r="DY15" i="3"/>
  <c r="DY59" i="3"/>
  <c r="DY31" i="3"/>
  <c r="DY67" i="3"/>
  <c r="DY77" i="3"/>
  <c r="DY53" i="3"/>
  <c r="DY17" i="3"/>
  <c r="DY13" i="3"/>
  <c r="DY26" i="3"/>
  <c r="DY37" i="3"/>
  <c r="DY36" i="3"/>
  <c r="DY42" i="3"/>
  <c r="DY38" i="3"/>
  <c r="DY34" i="3"/>
  <c r="DY57" i="3"/>
  <c r="DY32" i="3"/>
  <c r="DY60" i="3"/>
  <c r="DY8" i="3"/>
  <c r="DY44" i="3"/>
  <c r="DY7" i="3"/>
  <c r="DY62" i="3"/>
  <c r="DY56" i="3"/>
  <c r="DY66" i="3"/>
  <c r="DY64" i="3"/>
  <c r="DY11" i="3"/>
  <c r="DY61" i="3"/>
  <c r="DY71" i="3"/>
  <c r="DY72" i="3"/>
  <c r="DY14" i="3"/>
  <c r="DY10" i="3"/>
  <c r="DY73" i="3"/>
  <c r="DY18" i="3"/>
  <c r="DY21" i="3"/>
  <c r="DY43" i="3"/>
  <c r="DY19" i="3"/>
  <c r="DY16" i="3"/>
  <c r="DY12" i="3"/>
  <c r="DY45" i="3"/>
  <c r="DY25" i="3"/>
  <c r="DY23" i="3"/>
  <c r="GL88" i="3"/>
  <c r="S151" i="3"/>
  <c r="GD88" i="3"/>
  <c r="FH89" i="3"/>
  <c r="GD100" i="3"/>
  <c r="S163" i="3"/>
  <c r="GL100" i="3"/>
  <c r="FH101" i="3"/>
  <c r="GD91" i="3"/>
  <c r="GL91" i="3"/>
  <c r="FH92" i="3"/>
  <c r="S154" i="3"/>
  <c r="S150" i="3"/>
  <c r="GD87" i="3"/>
  <c r="GL87" i="3"/>
  <c r="FH88" i="3"/>
  <c r="GD102" i="3"/>
  <c r="S165" i="3"/>
  <c r="GL102" i="3"/>
  <c r="FH103" i="3"/>
  <c r="GD95" i="3"/>
  <c r="FH96" i="3"/>
  <c r="S158" i="3"/>
  <c r="GL95" i="3"/>
  <c r="GD56" i="3"/>
  <c r="S119" i="3"/>
  <c r="GL56" i="3"/>
  <c r="FH57" i="3"/>
  <c r="S170" i="3"/>
  <c r="GL107" i="3"/>
  <c r="GD107" i="3"/>
  <c r="FH108" i="3"/>
  <c r="GL119" i="3"/>
  <c r="GD119" i="3"/>
  <c r="S182" i="3"/>
  <c r="FH120" i="3"/>
  <c r="S98" i="3"/>
  <c r="FH36" i="3"/>
  <c r="GD35" i="3"/>
  <c r="GL35" i="3"/>
  <c r="GL13" i="3"/>
  <c r="S76" i="3"/>
  <c r="FH14" i="3"/>
  <c r="GD13" i="3"/>
  <c r="GL121" i="3"/>
  <c r="S184" i="3"/>
  <c r="GD121" i="3"/>
  <c r="FH122" i="3"/>
  <c r="S226" i="3"/>
  <c r="GL163" i="3"/>
  <c r="FH164" i="3"/>
  <c r="GD163" i="3"/>
  <c r="GD165" i="3"/>
  <c r="GL165" i="3"/>
  <c r="S228" i="3"/>
  <c r="FH166" i="3"/>
  <c r="S84" i="3"/>
  <c r="GD21" i="3"/>
  <c r="FH22" i="3"/>
  <c r="GL21" i="3"/>
  <c r="GL178" i="3"/>
  <c r="S241" i="3"/>
  <c r="GD178" i="3"/>
  <c r="FH179" i="3"/>
  <c r="GL61" i="3"/>
  <c r="GD61" i="3"/>
  <c r="FH62" i="3"/>
  <c r="S124" i="3"/>
  <c r="GL75" i="3"/>
  <c r="S138" i="3"/>
  <c r="FH76" i="3"/>
  <c r="GD75" i="3"/>
  <c r="GL38" i="3"/>
  <c r="S101" i="3"/>
  <c r="GD38" i="3"/>
  <c r="FH39" i="3"/>
  <c r="S187" i="3"/>
  <c r="GL124" i="3"/>
  <c r="FH125" i="3"/>
  <c r="GD124" i="3"/>
  <c r="GD139" i="3"/>
  <c r="S202" i="3"/>
  <c r="GL139" i="3"/>
  <c r="FH140" i="3"/>
  <c r="GD28" i="3"/>
  <c r="S91" i="3"/>
  <c r="GL28" i="3"/>
  <c r="FH29" i="3"/>
  <c r="GD20" i="3"/>
  <c r="S83" i="3"/>
  <c r="GL20" i="3"/>
  <c r="FH21" i="3"/>
  <c r="GL183" i="3"/>
  <c r="GD183" i="3"/>
  <c r="S246" i="3"/>
  <c r="FH184" i="3"/>
  <c r="GD93" i="3"/>
  <c r="FH94" i="3"/>
  <c r="GL93" i="3"/>
  <c r="S156" i="3"/>
  <c r="GL50" i="3"/>
  <c r="GD50" i="3"/>
  <c r="FH51" i="3"/>
  <c r="S113" i="3"/>
  <c r="HI4" i="3"/>
  <c r="IE4" i="3" s="1"/>
  <c r="HC4" i="3"/>
  <c r="HB5" i="3"/>
  <c r="HE4" i="3"/>
  <c r="DA25" i="3" l="1"/>
  <c r="CZ25" i="3"/>
  <c r="DA30" i="3"/>
  <c r="CZ30" i="3"/>
  <c r="CZ29" i="3"/>
  <c r="DA29" i="3"/>
  <c r="DA27" i="3"/>
  <c r="CZ27" i="3"/>
  <c r="DA26" i="3"/>
  <c r="CZ26" i="3"/>
  <c r="CZ28" i="3"/>
  <c r="DA28" i="3"/>
  <c r="DA24" i="3"/>
  <c r="CZ24" i="3"/>
  <c r="CW31" i="3"/>
  <c r="CZ8" i="3"/>
  <c r="DA8" i="3"/>
  <c r="DA20" i="3"/>
  <c r="CZ20" i="3"/>
  <c r="CZ16" i="3"/>
  <c r="CY31" i="3"/>
  <c r="DA16" i="3"/>
  <c r="W182" i="3"/>
  <c r="DX120" i="3"/>
  <c r="I182" i="3" s="1"/>
  <c r="W232" i="3"/>
  <c r="DX170" i="3"/>
  <c r="I232" i="3" s="1"/>
  <c r="W208" i="3"/>
  <c r="DX146" i="3"/>
  <c r="I208" i="3" s="1"/>
  <c r="W212" i="3"/>
  <c r="DX150" i="3"/>
  <c r="I212" i="3" s="1"/>
  <c r="W168" i="3"/>
  <c r="DX106" i="3"/>
  <c r="I168" i="3" s="1"/>
  <c r="W207" i="3"/>
  <c r="DX145" i="3"/>
  <c r="I207" i="3" s="1"/>
  <c r="W222" i="3"/>
  <c r="DX160" i="3"/>
  <c r="I222" i="3" s="1"/>
  <c r="W180" i="3"/>
  <c r="DX118" i="3"/>
  <c r="I180" i="3" s="1"/>
  <c r="W229" i="3"/>
  <c r="DX167" i="3"/>
  <c r="I229" i="3" s="1"/>
  <c r="W240" i="3"/>
  <c r="DX178" i="3"/>
  <c r="I240" i="3" s="1"/>
  <c r="DZ25" i="3"/>
  <c r="W87" i="3"/>
  <c r="DX25" i="3"/>
  <c r="I87" i="3" s="1"/>
  <c r="DZ43" i="3"/>
  <c r="W105" i="3"/>
  <c r="DX43" i="3"/>
  <c r="I105" i="3" s="1"/>
  <c r="W154" i="3"/>
  <c r="DX92" i="3"/>
  <c r="I154" i="3" s="1"/>
  <c r="W123" i="3"/>
  <c r="DZ61" i="3"/>
  <c r="DX61" i="3"/>
  <c r="I123" i="3" s="1"/>
  <c r="DX60" i="3"/>
  <c r="I122" i="3" s="1"/>
  <c r="DZ60" i="3"/>
  <c r="W122" i="3"/>
  <c r="DZ77" i="3"/>
  <c r="W139" i="3"/>
  <c r="DX77" i="3"/>
  <c r="I139" i="3" s="1"/>
  <c r="W138" i="3"/>
  <c r="DZ76" i="3"/>
  <c r="DX76" i="3"/>
  <c r="I138" i="3" s="1"/>
  <c r="W114" i="3"/>
  <c r="DZ52" i="3"/>
  <c r="DX52" i="3"/>
  <c r="I114" i="3" s="1"/>
  <c r="DX48" i="3"/>
  <c r="I110" i="3" s="1"/>
  <c r="DZ48" i="3"/>
  <c r="W110" i="3"/>
  <c r="W147" i="3"/>
  <c r="DX85" i="3"/>
  <c r="I147" i="3" s="1"/>
  <c r="DX33" i="3"/>
  <c r="I95" i="3" s="1"/>
  <c r="W95" i="3"/>
  <c r="DZ33" i="3"/>
  <c r="FF37" i="3"/>
  <c r="FJ37" i="3"/>
  <c r="GM36" i="3" s="1"/>
  <c r="FJ176" i="3"/>
  <c r="FF176" i="3"/>
  <c r="FF47" i="3"/>
  <c r="FJ47" i="3"/>
  <c r="GM46" i="3" s="1"/>
  <c r="FJ85" i="3"/>
  <c r="FF85" i="3"/>
  <c r="FF66" i="3"/>
  <c r="FJ66" i="3"/>
  <c r="GM65" i="3" s="1"/>
  <c r="FF33" i="3"/>
  <c r="FJ33" i="3"/>
  <c r="GM32" i="3" s="1"/>
  <c r="FF19" i="3"/>
  <c r="FJ19" i="3"/>
  <c r="GM18" i="3" s="1"/>
  <c r="FJ70" i="3"/>
  <c r="GM69" i="3" s="1"/>
  <c r="FF70" i="3"/>
  <c r="FF31" i="3"/>
  <c r="FJ31" i="3"/>
  <c r="GM30" i="3" s="1"/>
  <c r="FF79" i="3"/>
  <c r="FJ79" i="3"/>
  <c r="FF27" i="3"/>
  <c r="FJ27" i="3"/>
  <c r="GM26" i="3" s="1"/>
  <c r="FJ155" i="3"/>
  <c r="FF155" i="3"/>
  <c r="FJ184" i="3"/>
  <c r="FF184" i="3"/>
  <c r="FJ140" i="3"/>
  <c r="FF140" i="3"/>
  <c r="FJ39" i="3"/>
  <c r="GM38" i="3" s="1"/>
  <c r="FF39" i="3"/>
  <c r="FJ166" i="3"/>
  <c r="FF166" i="3"/>
  <c r="FJ108" i="3"/>
  <c r="FF108" i="3"/>
  <c r="FJ57" i="3"/>
  <c r="GM56" i="3" s="1"/>
  <c r="FF57" i="3"/>
  <c r="FJ88" i="3"/>
  <c r="FF88" i="3"/>
  <c r="FJ101" i="3"/>
  <c r="FF101" i="3"/>
  <c r="FF89" i="3"/>
  <c r="FJ89" i="3"/>
  <c r="W179" i="3"/>
  <c r="DX117" i="3"/>
  <c r="I179" i="3" s="1"/>
  <c r="W220" i="3"/>
  <c r="DX158" i="3"/>
  <c r="I220" i="3" s="1"/>
  <c r="W190" i="3"/>
  <c r="DX128" i="3"/>
  <c r="I190" i="3" s="1"/>
  <c r="W170" i="3"/>
  <c r="DX108" i="3"/>
  <c r="I170" i="3" s="1"/>
  <c r="W235" i="3"/>
  <c r="DX173" i="3"/>
  <c r="I235" i="3" s="1"/>
  <c r="W211" i="3"/>
  <c r="DX149" i="3"/>
  <c r="I211" i="3" s="1"/>
  <c r="W236" i="3"/>
  <c r="DX174" i="3"/>
  <c r="I236" i="3" s="1"/>
  <c r="W225" i="3"/>
  <c r="DX163" i="3"/>
  <c r="I225" i="3" s="1"/>
  <c r="W214" i="3"/>
  <c r="DX152" i="3"/>
  <c r="I214" i="3" s="1"/>
  <c r="W167" i="3"/>
  <c r="DX105" i="3"/>
  <c r="I167" i="3" s="1"/>
  <c r="W158" i="3"/>
  <c r="DX96" i="3"/>
  <c r="I158" i="3" s="1"/>
  <c r="DZ12" i="3"/>
  <c r="W74" i="3"/>
  <c r="DX12" i="3"/>
  <c r="I74" i="3" s="1"/>
  <c r="DZ21" i="3"/>
  <c r="DX21" i="3"/>
  <c r="I83" i="3" s="1"/>
  <c r="W83" i="3"/>
  <c r="W72" i="3"/>
  <c r="DX10" i="3"/>
  <c r="I72" i="3" s="1"/>
  <c r="DZ10" i="3"/>
  <c r="DZ56" i="3"/>
  <c r="W118" i="3"/>
  <c r="DX56" i="3"/>
  <c r="I118" i="3" s="1"/>
  <c r="DX91" i="3"/>
  <c r="I153" i="3" s="1"/>
  <c r="W153" i="3"/>
  <c r="DZ26" i="3"/>
  <c r="W88" i="3"/>
  <c r="DX26" i="3"/>
  <c r="I88" i="3" s="1"/>
  <c r="W79" i="3"/>
  <c r="DZ17" i="3"/>
  <c r="DX17" i="3"/>
  <c r="I79" i="3" s="1"/>
  <c r="W116" i="3"/>
  <c r="DZ54" i="3"/>
  <c r="DX54" i="3"/>
  <c r="I116" i="3" s="1"/>
  <c r="DX50" i="3"/>
  <c r="I112" i="3" s="1"/>
  <c r="DZ50" i="3"/>
  <c r="W112" i="3"/>
  <c r="W90" i="3"/>
  <c r="DX28" i="3"/>
  <c r="I90" i="3" s="1"/>
  <c r="DZ28" i="3"/>
  <c r="W161" i="3"/>
  <c r="DX99" i="3"/>
  <c r="I161" i="3" s="1"/>
  <c r="W86" i="3"/>
  <c r="DZ24" i="3"/>
  <c r="DX24" i="3"/>
  <c r="I86" i="3" s="1"/>
  <c r="W149" i="3"/>
  <c r="DX87" i="3"/>
  <c r="I149" i="3" s="1"/>
  <c r="FJ128" i="3"/>
  <c r="FF128" i="3"/>
  <c r="FJ111" i="3"/>
  <c r="FF111" i="3"/>
  <c r="FJ139" i="3"/>
  <c r="FF139" i="3"/>
  <c r="FJ147" i="3"/>
  <c r="FF147" i="3"/>
  <c r="FJ159" i="3"/>
  <c r="FF159" i="3"/>
  <c r="FJ141" i="3"/>
  <c r="FF141" i="3"/>
  <c r="FJ132" i="3"/>
  <c r="FF132" i="3"/>
  <c r="FF102" i="3"/>
  <c r="FJ102" i="3"/>
  <c r="FF48" i="3"/>
  <c r="FJ48" i="3"/>
  <c r="GM47" i="3" s="1"/>
  <c r="FJ150" i="3"/>
  <c r="FF150" i="3"/>
  <c r="FJ172" i="3"/>
  <c r="FF172" i="3"/>
  <c r="FJ77" i="3"/>
  <c r="GM76" i="3" s="1"/>
  <c r="FF77" i="3"/>
  <c r="HI5" i="3"/>
  <c r="IE5" i="3" s="1"/>
  <c r="HC5" i="3"/>
  <c r="HE5" i="3"/>
  <c r="HB6" i="3"/>
  <c r="IC4" i="3"/>
  <c r="FF51" i="3"/>
  <c r="FJ51" i="3"/>
  <c r="GM50" i="3" s="1"/>
  <c r="FJ125" i="3"/>
  <c r="FF125" i="3"/>
  <c r="FF76" i="3"/>
  <c r="FJ76" i="3"/>
  <c r="GM75" i="3" s="1"/>
  <c r="FF62" i="3"/>
  <c r="FJ62" i="3"/>
  <c r="GM61" i="3" s="1"/>
  <c r="FF22" i="3"/>
  <c r="FJ22" i="3"/>
  <c r="GM21" i="3" s="1"/>
  <c r="FJ164" i="3"/>
  <c r="FF164" i="3"/>
  <c r="FF14" i="3"/>
  <c r="FJ14" i="3"/>
  <c r="GM13" i="3" s="1"/>
  <c r="FF92" i="3"/>
  <c r="FJ92" i="3"/>
  <c r="W203" i="3"/>
  <c r="DX141" i="3"/>
  <c r="I203" i="3" s="1"/>
  <c r="W218" i="3"/>
  <c r="DX156" i="3"/>
  <c r="I218" i="3" s="1"/>
  <c r="W216" i="3"/>
  <c r="DX154" i="3"/>
  <c r="I216" i="3" s="1"/>
  <c r="W241" i="3"/>
  <c r="DX179" i="3"/>
  <c r="I241" i="3" s="1"/>
  <c r="W217" i="3"/>
  <c r="DX155" i="3"/>
  <c r="I217" i="3" s="1"/>
  <c r="W198" i="3"/>
  <c r="DX136" i="3"/>
  <c r="I198" i="3" s="1"/>
  <c r="W187" i="3"/>
  <c r="DX125" i="3"/>
  <c r="I187" i="3" s="1"/>
  <c r="W189" i="3"/>
  <c r="DX127" i="3"/>
  <c r="I189" i="3" s="1"/>
  <c r="W186" i="3"/>
  <c r="DX124" i="3"/>
  <c r="I186" i="3" s="1"/>
  <c r="W176" i="3"/>
  <c r="DX114" i="3"/>
  <c r="I176" i="3" s="1"/>
  <c r="W226" i="3"/>
  <c r="DX164" i="3"/>
  <c r="I226" i="3" s="1"/>
  <c r="W174" i="3"/>
  <c r="DX112" i="3"/>
  <c r="I174" i="3" s="1"/>
  <c r="W195" i="3"/>
  <c r="DX133" i="3"/>
  <c r="I195" i="3" s="1"/>
  <c r="W247" i="3"/>
  <c r="DX185" i="3"/>
  <c r="I247" i="3" s="1"/>
  <c r="W197" i="3"/>
  <c r="DX135" i="3"/>
  <c r="I197" i="3" s="1"/>
  <c r="W246" i="3"/>
  <c r="DX184" i="3"/>
  <c r="I246" i="3" s="1"/>
  <c r="W192" i="3"/>
  <c r="DX130" i="3"/>
  <c r="I192" i="3" s="1"/>
  <c r="W243" i="3"/>
  <c r="DX181" i="3"/>
  <c r="I243" i="3" s="1"/>
  <c r="W169" i="3"/>
  <c r="DX107" i="3"/>
  <c r="I169" i="3" s="1"/>
  <c r="W194" i="3"/>
  <c r="DX132" i="3"/>
  <c r="I194" i="3" s="1"/>
  <c r="W201" i="3"/>
  <c r="DX139" i="3"/>
  <c r="I201" i="3" s="1"/>
  <c r="DZ45" i="3"/>
  <c r="DX45" i="3"/>
  <c r="I107" i="3" s="1"/>
  <c r="W107" i="3"/>
  <c r="DX16" i="3"/>
  <c r="I78" i="3" s="1"/>
  <c r="DZ16" i="3"/>
  <c r="W78" i="3"/>
  <c r="DZ18" i="3"/>
  <c r="W80" i="3"/>
  <c r="DX18" i="3"/>
  <c r="I80" i="3" s="1"/>
  <c r="W76" i="3"/>
  <c r="DZ14" i="3"/>
  <c r="DX14" i="3"/>
  <c r="I76" i="3" s="1"/>
  <c r="DZ72" i="3"/>
  <c r="W134" i="3"/>
  <c r="DX72" i="3"/>
  <c r="I134" i="3" s="1"/>
  <c r="DZ64" i="3"/>
  <c r="DX64" i="3"/>
  <c r="I126" i="3" s="1"/>
  <c r="W126" i="3"/>
  <c r="W124" i="3"/>
  <c r="DZ62" i="3"/>
  <c r="DX62" i="3"/>
  <c r="I124" i="3" s="1"/>
  <c r="DZ8" i="3"/>
  <c r="W70" i="3"/>
  <c r="DX8" i="3"/>
  <c r="I70" i="3" s="1"/>
  <c r="DX32" i="3"/>
  <c r="I94" i="3" s="1"/>
  <c r="DZ32" i="3"/>
  <c r="W94" i="3"/>
  <c r="W104" i="3"/>
  <c r="DX42" i="3"/>
  <c r="I104" i="3" s="1"/>
  <c r="DZ42" i="3"/>
  <c r="W150" i="3"/>
  <c r="DX88" i="3"/>
  <c r="I150" i="3" s="1"/>
  <c r="DX53" i="3"/>
  <c r="I115" i="3" s="1"/>
  <c r="DZ53" i="3"/>
  <c r="W115" i="3"/>
  <c r="DX79" i="3"/>
  <c r="I141" i="3" s="1"/>
  <c r="W141" i="3"/>
  <c r="W137" i="3"/>
  <c r="DZ75" i="3"/>
  <c r="DX75" i="3"/>
  <c r="I137" i="3" s="1"/>
  <c r="DZ39" i="3"/>
  <c r="W101" i="3"/>
  <c r="DX39" i="3"/>
  <c r="I101" i="3" s="1"/>
  <c r="DX41" i="3"/>
  <c r="I103" i="3" s="1"/>
  <c r="DZ41" i="3"/>
  <c r="W103" i="3"/>
  <c r="W166" i="3"/>
  <c r="DX104" i="3"/>
  <c r="I166" i="3" s="1"/>
  <c r="W136" i="3"/>
  <c r="DZ74" i="3"/>
  <c r="DX74" i="3"/>
  <c r="I136" i="3" s="1"/>
  <c r="W82" i="3"/>
  <c r="DX20" i="3"/>
  <c r="I82" i="3" s="1"/>
  <c r="DZ20" i="3"/>
  <c r="W113" i="3"/>
  <c r="DX51" i="3"/>
  <c r="I113" i="3" s="1"/>
  <c r="DZ51" i="3"/>
  <c r="W91" i="3"/>
  <c r="DZ29" i="3"/>
  <c r="DX29" i="3"/>
  <c r="I91" i="3" s="1"/>
  <c r="W144" i="3"/>
  <c r="DX82" i="3"/>
  <c r="I144" i="3" s="1"/>
  <c r="W131" i="3"/>
  <c r="DZ69" i="3"/>
  <c r="DX69" i="3"/>
  <c r="I131" i="3" s="1"/>
  <c r="DX40" i="3"/>
  <c r="I102" i="3" s="1"/>
  <c r="W102" i="3"/>
  <c r="DZ40" i="3"/>
  <c r="FJ45" i="3"/>
  <c r="GM44" i="3" s="1"/>
  <c r="FF45" i="3"/>
  <c r="FJ12" i="3"/>
  <c r="GM11" i="3" s="1"/>
  <c r="FF12" i="3"/>
  <c r="FF59" i="3"/>
  <c r="FJ59" i="3"/>
  <c r="GM58" i="3" s="1"/>
  <c r="FJ174" i="3"/>
  <c r="FF174" i="3"/>
  <c r="FF30" i="3"/>
  <c r="FJ30" i="3"/>
  <c r="GM29" i="3" s="1"/>
  <c r="FJ116" i="3"/>
  <c r="FF116" i="3"/>
  <c r="FJ112" i="3"/>
  <c r="FF112" i="3"/>
  <c r="FF68" i="3"/>
  <c r="FJ68" i="3"/>
  <c r="GM67" i="3" s="1"/>
  <c r="FJ131" i="3"/>
  <c r="FF131" i="3"/>
  <c r="FJ142" i="3"/>
  <c r="FF142" i="3"/>
  <c r="FJ100" i="3"/>
  <c r="FF100" i="3"/>
  <c r="FF95" i="3"/>
  <c r="FJ95" i="3"/>
  <c r="FJ173" i="3"/>
  <c r="FF173" i="3"/>
  <c r="FF75" i="3"/>
  <c r="FJ75" i="3"/>
  <c r="GM74" i="3" s="1"/>
  <c r="FJ152" i="3"/>
  <c r="FF152" i="3"/>
  <c r="FJ113" i="3"/>
  <c r="FF113" i="3"/>
  <c r="FF32" i="3"/>
  <c r="FJ32" i="3"/>
  <c r="GM31" i="3" s="1"/>
  <c r="FJ146" i="3"/>
  <c r="FF146" i="3"/>
  <c r="FF61" i="3"/>
  <c r="FJ61" i="3"/>
  <c r="GM60" i="3" s="1"/>
  <c r="FJ18" i="3"/>
  <c r="GM17" i="3" s="1"/>
  <c r="FF18" i="3"/>
  <c r="FJ178" i="3"/>
  <c r="FF178" i="3"/>
  <c r="FJ71" i="3"/>
  <c r="GM70" i="3" s="1"/>
  <c r="FF71" i="3"/>
  <c r="FF58" i="3"/>
  <c r="FJ58" i="3"/>
  <c r="GM57" i="3" s="1"/>
  <c r="FJ93" i="3"/>
  <c r="FF93" i="3"/>
  <c r="FJ160" i="3"/>
  <c r="FF160" i="3"/>
  <c r="FF38" i="3"/>
  <c r="FJ38" i="3"/>
  <c r="GM37" i="3" s="1"/>
  <c r="FJ186" i="3"/>
  <c r="FF186" i="3"/>
  <c r="FF25" i="3"/>
  <c r="FJ25" i="3"/>
  <c r="GM24" i="3" s="1"/>
  <c r="FJ175" i="3"/>
  <c r="FF175" i="3"/>
  <c r="FJ20" i="3"/>
  <c r="GM19" i="3" s="1"/>
  <c r="FF20" i="3"/>
  <c r="FJ80" i="3"/>
  <c r="FF80" i="3"/>
  <c r="FJ121" i="3"/>
  <c r="FF121" i="3"/>
  <c r="FJ81" i="3"/>
  <c r="FF81" i="3"/>
  <c r="FJ107" i="3"/>
  <c r="FF107" i="3"/>
  <c r="FF13" i="3"/>
  <c r="FJ13" i="3"/>
  <c r="GM12" i="3" s="1"/>
  <c r="FJ72" i="3"/>
  <c r="GM71" i="3" s="1"/>
  <c r="FF72" i="3"/>
  <c r="FF97" i="3"/>
  <c r="FJ97" i="3"/>
  <c r="FJ138" i="3"/>
  <c r="FF138" i="3"/>
  <c r="FJ182" i="3"/>
  <c r="FF182" i="3"/>
  <c r="FJ117" i="3"/>
  <c r="FF117" i="3"/>
  <c r="FF86" i="3"/>
  <c r="FJ86" i="3"/>
  <c r="FJ156" i="3"/>
  <c r="FF156" i="3"/>
  <c r="FJ177" i="3"/>
  <c r="FF177" i="3"/>
  <c r="FJ127" i="3"/>
  <c r="FF127" i="3"/>
  <c r="FJ53" i="3"/>
  <c r="GM52" i="3" s="1"/>
  <c r="FF53" i="3"/>
  <c r="FF8" i="3"/>
  <c r="FJ8" i="3"/>
  <c r="GM7" i="3" s="1"/>
  <c r="FF63" i="3"/>
  <c r="FJ63" i="3"/>
  <c r="GM62" i="3" s="1"/>
  <c r="FJ163" i="3"/>
  <c r="FF163" i="3"/>
  <c r="FF35" i="3"/>
  <c r="FJ35" i="3"/>
  <c r="GM34" i="3" s="1"/>
  <c r="FJ161" i="3"/>
  <c r="FF161" i="3"/>
  <c r="FJ158" i="3"/>
  <c r="FF158" i="3"/>
  <c r="FJ148" i="3"/>
  <c r="FF148" i="3"/>
  <c r="FJ169" i="3"/>
  <c r="FF169" i="3"/>
  <c r="W206" i="3"/>
  <c r="DX144" i="3"/>
  <c r="I206" i="3" s="1"/>
  <c r="W223" i="3"/>
  <c r="DX161" i="3"/>
  <c r="I223" i="3" s="1"/>
  <c r="W199" i="3"/>
  <c r="DX137" i="3"/>
  <c r="I199" i="3" s="1"/>
  <c r="W171" i="3"/>
  <c r="DX109" i="3"/>
  <c r="I171" i="3" s="1"/>
  <c r="W242" i="3"/>
  <c r="DX180" i="3"/>
  <c r="I242" i="3" s="1"/>
  <c r="W181" i="3"/>
  <c r="DX119" i="3"/>
  <c r="I181" i="3" s="1"/>
  <c r="W173" i="3"/>
  <c r="DX111" i="3"/>
  <c r="I173" i="3" s="1"/>
  <c r="W219" i="3"/>
  <c r="DX157" i="3"/>
  <c r="I219" i="3" s="1"/>
  <c r="W231" i="3"/>
  <c r="DX169" i="3"/>
  <c r="I231" i="3" s="1"/>
  <c r="W215" i="3"/>
  <c r="DX153" i="3"/>
  <c r="I215" i="3" s="1"/>
  <c r="DX90" i="3"/>
  <c r="I152" i="3" s="1"/>
  <c r="W152" i="3"/>
  <c r="W155" i="3"/>
  <c r="DX93" i="3"/>
  <c r="I155" i="3" s="1"/>
  <c r="DZ66" i="3"/>
  <c r="DX66" i="3"/>
  <c r="I128" i="3" s="1"/>
  <c r="W128" i="3"/>
  <c r="W106" i="3"/>
  <c r="DX44" i="3"/>
  <c r="I106" i="3" s="1"/>
  <c r="DZ44" i="3"/>
  <c r="DZ34" i="3"/>
  <c r="W96" i="3"/>
  <c r="DX34" i="3"/>
  <c r="I96" i="3" s="1"/>
  <c r="W99" i="3"/>
  <c r="DX37" i="3"/>
  <c r="I99" i="3" s="1"/>
  <c r="DZ37" i="3"/>
  <c r="DZ13" i="3"/>
  <c r="W75" i="3"/>
  <c r="DX13" i="3"/>
  <c r="I75" i="3" s="1"/>
  <c r="DZ59" i="3"/>
  <c r="W121" i="3"/>
  <c r="DX59" i="3"/>
  <c r="I121" i="3" s="1"/>
  <c r="W130" i="3"/>
  <c r="DZ68" i="3"/>
  <c r="DX68" i="3"/>
  <c r="I130" i="3" s="1"/>
  <c r="W111" i="3"/>
  <c r="DZ49" i="3"/>
  <c r="DX49" i="3"/>
  <c r="I111" i="3" s="1"/>
  <c r="DX35" i="3"/>
  <c r="I97" i="3" s="1"/>
  <c r="DZ35" i="3"/>
  <c r="W97" i="3"/>
  <c r="W84" i="3"/>
  <c r="DZ22" i="3"/>
  <c r="DX22" i="3"/>
  <c r="I84" i="3" s="1"/>
  <c r="DX6" i="3"/>
  <c r="W68" i="3"/>
  <c r="DZ6" i="3"/>
  <c r="DX63" i="3"/>
  <c r="I125" i="3" s="1"/>
  <c r="W125" i="3"/>
  <c r="DZ63" i="3"/>
  <c r="FF9" i="3"/>
  <c r="FJ9" i="3"/>
  <c r="GM8" i="3" s="1"/>
  <c r="FJ23" i="3"/>
  <c r="GM22" i="3" s="1"/>
  <c r="FF23" i="3"/>
  <c r="FJ145" i="3"/>
  <c r="FF145" i="3"/>
  <c r="FJ171" i="3"/>
  <c r="FF171" i="3"/>
  <c r="FJ84" i="3"/>
  <c r="FF84" i="3"/>
  <c r="FJ105" i="3"/>
  <c r="FF105" i="3"/>
  <c r="FF15" i="3"/>
  <c r="FJ15" i="3"/>
  <c r="GM14" i="3" s="1"/>
  <c r="FF78" i="3"/>
  <c r="FJ78" i="3"/>
  <c r="GM77" i="3" s="1"/>
  <c r="FF44" i="3"/>
  <c r="FJ44" i="3"/>
  <c r="GM43" i="3" s="1"/>
  <c r="FF60" i="3"/>
  <c r="FJ60" i="3"/>
  <c r="GM59" i="3" s="1"/>
  <c r="FF11" i="3"/>
  <c r="FJ11" i="3"/>
  <c r="GM10" i="3" s="1"/>
  <c r="FJ183" i="3"/>
  <c r="FF183" i="3"/>
  <c r="HK4" i="3"/>
  <c r="IG4" i="3" s="1"/>
  <c r="HJ4" i="3"/>
  <c r="IF4" i="3" s="1"/>
  <c r="HM4" i="3"/>
  <c r="II4" i="3" s="1"/>
  <c r="HH4" i="3"/>
  <c r="ID4" i="3" s="1"/>
  <c r="HD4" i="3"/>
  <c r="HV4" i="3"/>
  <c r="HL4" i="3"/>
  <c r="IH4" i="3" s="1"/>
  <c r="FF21" i="3"/>
  <c r="FJ21" i="3"/>
  <c r="GM20" i="3" s="1"/>
  <c r="FF29" i="3"/>
  <c r="FJ29" i="3"/>
  <c r="GM28" i="3" s="1"/>
  <c r="FJ179" i="3"/>
  <c r="FF179" i="3"/>
  <c r="FJ122" i="3"/>
  <c r="FF122" i="3"/>
  <c r="FJ120" i="3"/>
  <c r="FF120" i="3"/>
  <c r="FF103" i="3"/>
  <c r="FJ103" i="3"/>
  <c r="W185" i="3"/>
  <c r="DX123" i="3"/>
  <c r="I185" i="3" s="1"/>
  <c r="W184" i="3"/>
  <c r="DX122" i="3"/>
  <c r="I184" i="3" s="1"/>
  <c r="W202" i="3"/>
  <c r="DX140" i="3"/>
  <c r="I202" i="3" s="1"/>
  <c r="W193" i="3"/>
  <c r="DX131" i="3"/>
  <c r="I193" i="3" s="1"/>
  <c r="W178" i="3"/>
  <c r="DX116" i="3"/>
  <c r="I178" i="3" s="1"/>
  <c r="W204" i="3"/>
  <c r="DX142" i="3"/>
  <c r="I204" i="3" s="1"/>
  <c r="W200" i="3"/>
  <c r="DX138" i="3"/>
  <c r="I200" i="3" s="1"/>
  <c r="W237" i="3"/>
  <c r="DX175" i="3"/>
  <c r="I237" i="3" s="1"/>
  <c r="W228" i="3"/>
  <c r="DX166" i="3"/>
  <c r="I228" i="3" s="1"/>
  <c r="W191" i="3"/>
  <c r="DX129" i="3"/>
  <c r="I191" i="3" s="1"/>
  <c r="W238" i="3"/>
  <c r="DX176" i="3"/>
  <c r="I238" i="3" s="1"/>
  <c r="W165" i="3"/>
  <c r="DX103" i="3"/>
  <c r="I165" i="3" s="1"/>
  <c r="DX11" i="3"/>
  <c r="I73" i="3" s="1"/>
  <c r="DZ11" i="3"/>
  <c r="W73" i="3"/>
  <c r="DX80" i="3"/>
  <c r="I142" i="3" s="1"/>
  <c r="W142" i="3"/>
  <c r="DZ38" i="3"/>
  <c r="W100" i="3"/>
  <c r="DX38" i="3"/>
  <c r="I100" i="3" s="1"/>
  <c r="W129" i="3"/>
  <c r="DX67" i="3"/>
  <c r="I129" i="3" s="1"/>
  <c r="DZ67" i="3"/>
  <c r="W77" i="3"/>
  <c r="DX15" i="3"/>
  <c r="I77" i="3" s="1"/>
  <c r="DZ15" i="3"/>
  <c r="W157" i="3"/>
  <c r="DX95" i="3"/>
  <c r="I157" i="3" s="1"/>
  <c r="W108" i="3"/>
  <c r="DX46" i="3"/>
  <c r="I108" i="3" s="1"/>
  <c r="DZ46" i="3"/>
  <c r="W143" i="3"/>
  <c r="DX81" i="3"/>
  <c r="I143" i="3" s="1"/>
  <c r="FF6" i="3"/>
  <c r="FJ6" i="3"/>
  <c r="GM5" i="3" s="1"/>
  <c r="DX70" i="3"/>
  <c r="I132" i="3" s="1"/>
  <c r="W132" i="3"/>
  <c r="DZ70" i="3"/>
  <c r="FF98" i="3"/>
  <c r="FJ98" i="3"/>
  <c r="FJ40" i="3"/>
  <c r="GM39" i="3" s="1"/>
  <c r="FF40" i="3"/>
  <c r="FJ123" i="3"/>
  <c r="FF123" i="3"/>
  <c r="FJ143" i="3"/>
  <c r="FF143" i="3"/>
  <c r="FJ185" i="3"/>
  <c r="FF185" i="3"/>
  <c r="FJ114" i="3"/>
  <c r="FF114" i="3"/>
  <c r="FJ106" i="3"/>
  <c r="FF106" i="3"/>
  <c r="FJ24" i="3"/>
  <c r="GM23" i="3" s="1"/>
  <c r="FF24" i="3"/>
  <c r="FJ168" i="3"/>
  <c r="FF168" i="3"/>
  <c r="FJ52" i="3"/>
  <c r="GM51" i="3" s="1"/>
  <c r="FF52" i="3"/>
  <c r="FJ87" i="3"/>
  <c r="FF87" i="3"/>
  <c r="FF99" i="3"/>
  <c r="FJ99" i="3"/>
  <c r="FG154" i="3"/>
  <c r="FJ154" i="3"/>
  <c r="FF94" i="3"/>
  <c r="FJ94" i="3"/>
  <c r="FF36" i="3"/>
  <c r="FJ36" i="3"/>
  <c r="GM35" i="3" s="1"/>
  <c r="FJ96" i="3"/>
  <c r="FF96" i="3"/>
  <c r="W227" i="3"/>
  <c r="DX165" i="3"/>
  <c r="I227" i="3" s="1"/>
  <c r="W177" i="3"/>
  <c r="DX115" i="3"/>
  <c r="I177" i="3" s="1"/>
  <c r="W221" i="3"/>
  <c r="DX159" i="3"/>
  <c r="I221" i="3" s="1"/>
  <c r="W244" i="3"/>
  <c r="DX182" i="3"/>
  <c r="I244" i="3" s="1"/>
  <c r="W239" i="3"/>
  <c r="DX177" i="3"/>
  <c r="I239" i="3" s="1"/>
  <c r="W213" i="3"/>
  <c r="DX151" i="3"/>
  <c r="I213" i="3" s="1"/>
  <c r="W188" i="3"/>
  <c r="DX126" i="3"/>
  <c r="I188" i="3" s="1"/>
  <c r="W172" i="3"/>
  <c r="DX110" i="3"/>
  <c r="I172" i="3" s="1"/>
  <c r="W245" i="3"/>
  <c r="DX183" i="3"/>
  <c r="I245" i="3" s="1"/>
  <c r="W175" i="3"/>
  <c r="DX113" i="3"/>
  <c r="I175" i="3" s="1"/>
  <c r="W210" i="3"/>
  <c r="DX148" i="3"/>
  <c r="I210" i="3" s="1"/>
  <c r="W196" i="3"/>
  <c r="DX134" i="3"/>
  <c r="I196" i="3" s="1"/>
  <c r="W183" i="3"/>
  <c r="DX121" i="3"/>
  <c r="I183" i="3" s="1"/>
  <c r="W233" i="3"/>
  <c r="DX171" i="3"/>
  <c r="I233" i="3" s="1"/>
  <c r="W234" i="3"/>
  <c r="DX172" i="3"/>
  <c r="I234" i="3" s="1"/>
  <c r="W209" i="3"/>
  <c r="DX147" i="3"/>
  <c r="I209" i="3" s="1"/>
  <c r="W205" i="3"/>
  <c r="DX143" i="3"/>
  <c r="I205" i="3" s="1"/>
  <c r="W248" i="3"/>
  <c r="DX186" i="3"/>
  <c r="I248" i="3" s="1"/>
  <c r="W230" i="3"/>
  <c r="DX168" i="3"/>
  <c r="I230" i="3" s="1"/>
  <c r="W224" i="3"/>
  <c r="DX162" i="3"/>
  <c r="I224" i="3" s="1"/>
  <c r="DZ23" i="3"/>
  <c r="W85" i="3"/>
  <c r="DX23" i="3"/>
  <c r="I85" i="3" s="1"/>
  <c r="DX98" i="3"/>
  <c r="I160" i="3" s="1"/>
  <c r="W160" i="3"/>
  <c r="W81" i="3"/>
  <c r="DX19" i="3"/>
  <c r="I81" i="3" s="1"/>
  <c r="DZ19" i="3"/>
  <c r="DZ73" i="3"/>
  <c r="W135" i="3"/>
  <c r="DX73" i="3"/>
  <c r="I135" i="3" s="1"/>
  <c r="W159" i="3"/>
  <c r="DX97" i="3"/>
  <c r="I159" i="3" s="1"/>
  <c r="W133" i="3"/>
  <c r="DZ71" i="3"/>
  <c r="DX71" i="3"/>
  <c r="I133" i="3" s="1"/>
  <c r="W163" i="3"/>
  <c r="DX101" i="3"/>
  <c r="I163" i="3" s="1"/>
  <c r="W69" i="3"/>
  <c r="DZ7" i="3"/>
  <c r="DX7" i="3"/>
  <c r="I69" i="3" s="1"/>
  <c r="DX100" i="3"/>
  <c r="I162" i="3" s="1"/>
  <c r="W162" i="3"/>
  <c r="DZ57" i="3"/>
  <c r="DX57" i="3"/>
  <c r="I119" i="3" s="1"/>
  <c r="W119" i="3"/>
  <c r="DX36" i="3"/>
  <c r="I98" i="3" s="1"/>
  <c r="DZ36" i="3"/>
  <c r="W98" i="3"/>
  <c r="W145" i="3"/>
  <c r="DX83" i="3"/>
  <c r="I145" i="3" s="1"/>
  <c r="W156" i="3"/>
  <c r="DX94" i="3"/>
  <c r="I156" i="3" s="1"/>
  <c r="W93" i="3"/>
  <c r="DX31" i="3"/>
  <c r="I93" i="3" s="1"/>
  <c r="DZ31" i="3"/>
  <c r="DX47" i="3"/>
  <c r="I109" i="3" s="1"/>
  <c r="W109" i="3"/>
  <c r="DZ47" i="3"/>
  <c r="DX102" i="3"/>
  <c r="I164" i="3" s="1"/>
  <c r="W164" i="3"/>
  <c r="W117" i="3"/>
  <c r="DZ55" i="3"/>
  <c r="DX55" i="3"/>
  <c r="I117" i="3" s="1"/>
  <c r="W148" i="3"/>
  <c r="DX86" i="3"/>
  <c r="I148" i="3" s="1"/>
  <c r="W120" i="3"/>
  <c r="DZ58" i="3"/>
  <c r="DX58" i="3"/>
  <c r="I120" i="3" s="1"/>
  <c r="DZ27" i="3"/>
  <c r="DX27" i="3"/>
  <c r="I89" i="3" s="1"/>
  <c r="W89" i="3"/>
  <c r="DX78" i="3"/>
  <c r="I140" i="3" s="1"/>
  <c r="DZ78" i="3"/>
  <c r="DZ79" i="3" s="1"/>
  <c r="DZ80" i="3" s="1"/>
  <c r="DZ81" i="3" s="1"/>
  <c r="DZ82" i="3" s="1"/>
  <c r="DZ83" i="3" s="1"/>
  <c r="DZ84" i="3" s="1"/>
  <c r="DZ85" i="3" s="1"/>
  <c r="DZ86" i="3" s="1"/>
  <c r="DZ87" i="3" s="1"/>
  <c r="DZ88" i="3" s="1"/>
  <c r="DZ89" i="3" s="1"/>
  <c r="DZ90" i="3" s="1"/>
  <c r="DZ91" i="3" s="1"/>
  <c r="DZ92" i="3" s="1"/>
  <c r="DZ93" i="3" s="1"/>
  <c r="DZ94" i="3" s="1"/>
  <c r="DZ95" i="3" s="1"/>
  <c r="DZ96" i="3" s="1"/>
  <c r="DZ97" i="3" s="1"/>
  <c r="DZ98" i="3" s="1"/>
  <c r="DZ99" i="3" s="1"/>
  <c r="DZ100" i="3" s="1"/>
  <c r="DZ101" i="3" s="1"/>
  <c r="DZ102" i="3" s="1"/>
  <c r="DZ103" i="3" s="1"/>
  <c r="DZ104" i="3" s="1"/>
  <c r="DZ105" i="3" s="1"/>
  <c r="DZ106" i="3" s="1"/>
  <c r="DZ107" i="3" s="1"/>
  <c r="DZ108" i="3" s="1"/>
  <c r="DZ109" i="3" s="1"/>
  <c r="DZ110" i="3" s="1"/>
  <c r="DZ111" i="3" s="1"/>
  <c r="DZ112" i="3" s="1"/>
  <c r="DZ113" i="3" s="1"/>
  <c r="DZ114" i="3" s="1"/>
  <c r="DZ115" i="3" s="1"/>
  <c r="DZ116" i="3" s="1"/>
  <c r="DZ117" i="3" s="1"/>
  <c r="DZ118" i="3" s="1"/>
  <c r="DZ119" i="3" s="1"/>
  <c r="DZ120" i="3" s="1"/>
  <c r="DZ121" i="3" s="1"/>
  <c r="DZ122" i="3" s="1"/>
  <c r="DZ123" i="3" s="1"/>
  <c r="DZ124" i="3" s="1"/>
  <c r="DZ125" i="3" s="1"/>
  <c r="DZ126" i="3" s="1"/>
  <c r="DZ127" i="3" s="1"/>
  <c r="DZ128" i="3" s="1"/>
  <c r="DZ129" i="3" s="1"/>
  <c r="DZ130" i="3" s="1"/>
  <c r="DZ131" i="3" s="1"/>
  <c r="DZ132" i="3" s="1"/>
  <c r="DZ133" i="3" s="1"/>
  <c r="DZ134" i="3" s="1"/>
  <c r="DZ135" i="3" s="1"/>
  <c r="DZ136" i="3" s="1"/>
  <c r="DZ137" i="3" s="1"/>
  <c r="DZ138" i="3" s="1"/>
  <c r="DZ139" i="3" s="1"/>
  <c r="DZ140" i="3" s="1"/>
  <c r="DZ141" i="3" s="1"/>
  <c r="DZ142" i="3" s="1"/>
  <c r="DZ143" i="3" s="1"/>
  <c r="DZ144" i="3" s="1"/>
  <c r="DZ145" i="3" s="1"/>
  <c r="DZ146" i="3" s="1"/>
  <c r="DZ147" i="3" s="1"/>
  <c r="DZ148" i="3" s="1"/>
  <c r="DZ149" i="3" s="1"/>
  <c r="DZ150" i="3" s="1"/>
  <c r="DZ151" i="3" s="1"/>
  <c r="DZ152" i="3" s="1"/>
  <c r="DZ153" i="3" s="1"/>
  <c r="DZ154" i="3" s="1"/>
  <c r="DZ155" i="3" s="1"/>
  <c r="DZ156" i="3" s="1"/>
  <c r="DZ157" i="3" s="1"/>
  <c r="DZ158" i="3" s="1"/>
  <c r="DZ159" i="3" s="1"/>
  <c r="DZ160" i="3" s="1"/>
  <c r="DZ161" i="3" s="1"/>
  <c r="DZ162" i="3" s="1"/>
  <c r="DZ163" i="3" s="1"/>
  <c r="DZ164" i="3" s="1"/>
  <c r="DZ165" i="3" s="1"/>
  <c r="DZ166" i="3" s="1"/>
  <c r="DZ167" i="3" s="1"/>
  <c r="DZ168" i="3" s="1"/>
  <c r="DZ169" i="3" s="1"/>
  <c r="DZ170" i="3" s="1"/>
  <c r="DZ171" i="3" s="1"/>
  <c r="DZ172" i="3" s="1"/>
  <c r="DZ173" i="3" s="1"/>
  <c r="DZ174" i="3" s="1"/>
  <c r="DZ175" i="3" s="1"/>
  <c r="DZ176" i="3" s="1"/>
  <c r="DZ177" i="3" s="1"/>
  <c r="DZ178" i="3" s="1"/>
  <c r="DZ179" i="3" s="1"/>
  <c r="DZ180" i="3" s="1"/>
  <c r="DZ181" i="3" s="1"/>
  <c r="DZ182" i="3" s="1"/>
  <c r="DZ183" i="3" s="1"/>
  <c r="DZ184" i="3" s="1"/>
  <c r="DZ185" i="3" s="1"/>
  <c r="DZ186" i="3" s="1"/>
  <c r="W140" i="3"/>
  <c r="W127" i="3"/>
  <c r="DZ65" i="3"/>
  <c r="DX65" i="3"/>
  <c r="I127" i="3" s="1"/>
  <c r="W146" i="3"/>
  <c r="DX84" i="3"/>
  <c r="I146" i="3" s="1"/>
  <c r="W151" i="3"/>
  <c r="DX89" i="3"/>
  <c r="I151" i="3" s="1"/>
  <c r="W92" i="3"/>
  <c r="DZ30" i="3"/>
  <c r="DX30" i="3"/>
  <c r="I92" i="3" s="1"/>
  <c r="W71" i="3"/>
  <c r="DZ9" i="3"/>
  <c r="DX9" i="3"/>
  <c r="I71" i="3" s="1"/>
  <c r="FF56" i="3"/>
  <c r="FJ56" i="3"/>
  <c r="GM55" i="3" s="1"/>
  <c r="FJ74" i="3"/>
  <c r="GM73" i="3" s="1"/>
  <c r="FF74" i="3"/>
  <c r="FG104" i="3"/>
  <c r="FJ104" i="3"/>
  <c r="FJ83" i="3"/>
  <c r="FF83" i="3"/>
  <c r="FJ90" i="3"/>
  <c r="FF90" i="3"/>
  <c r="FF7" i="3"/>
  <c r="FJ7" i="3"/>
  <c r="GM6" i="3" s="1"/>
  <c r="FJ134" i="3"/>
  <c r="FF134" i="3"/>
  <c r="FF54" i="3"/>
  <c r="FJ54" i="3"/>
  <c r="GM53" i="3" s="1"/>
  <c r="FF28" i="3"/>
  <c r="FJ28" i="3"/>
  <c r="GM27" i="3" s="1"/>
  <c r="FJ82" i="3"/>
  <c r="FF82" i="3"/>
  <c r="FJ162" i="3"/>
  <c r="FF162" i="3"/>
  <c r="FJ151" i="3"/>
  <c r="FF151" i="3"/>
  <c r="FJ167" i="3"/>
  <c r="FF167" i="3"/>
  <c r="FJ126" i="3"/>
  <c r="FF126" i="3"/>
  <c r="FJ170" i="3"/>
  <c r="FF170" i="3"/>
  <c r="FF46" i="3"/>
  <c r="FJ46" i="3"/>
  <c r="GM45" i="3" s="1"/>
  <c r="FJ133" i="3"/>
  <c r="FF133" i="3"/>
  <c r="FF55" i="3"/>
  <c r="FJ55" i="3"/>
  <c r="GM54" i="3" s="1"/>
  <c r="FJ181" i="3"/>
  <c r="FF181" i="3"/>
  <c r="FJ165" i="3"/>
  <c r="FF165" i="3"/>
  <c r="FF67" i="3"/>
  <c r="FJ67" i="3"/>
  <c r="GM66" i="3" s="1"/>
  <c r="FF50" i="3"/>
  <c r="FJ50" i="3"/>
  <c r="GM49" i="3" s="1"/>
  <c r="FJ91" i="3"/>
  <c r="FF91" i="3"/>
  <c r="FJ149" i="3"/>
  <c r="FF149" i="3"/>
  <c r="FJ118" i="3"/>
  <c r="FF118" i="3"/>
  <c r="FJ157" i="3"/>
  <c r="FF157" i="3"/>
  <c r="FJ115" i="3"/>
  <c r="FF115" i="3"/>
  <c r="FJ119" i="3"/>
  <c r="FF119" i="3"/>
  <c r="FF16" i="3"/>
  <c r="FJ16" i="3"/>
  <c r="GM15" i="3" s="1"/>
  <c r="FJ41" i="3"/>
  <c r="GM40" i="3" s="1"/>
  <c r="FF41" i="3"/>
  <c r="FJ34" i="3"/>
  <c r="GM33" i="3" s="1"/>
  <c r="FF34" i="3"/>
  <c r="FJ110" i="3"/>
  <c r="FF110" i="3"/>
  <c r="FJ180" i="3"/>
  <c r="FF180" i="3"/>
  <c r="FJ129" i="3"/>
  <c r="FF129" i="3"/>
  <c r="FF64" i="3"/>
  <c r="FJ64" i="3"/>
  <c r="GM63" i="3" s="1"/>
  <c r="FJ144" i="3"/>
  <c r="FF144" i="3"/>
  <c r="FJ137" i="3"/>
  <c r="FF137" i="3"/>
  <c r="FF42" i="3"/>
  <c r="FJ42" i="3"/>
  <c r="GM41" i="3" s="1"/>
  <c r="FJ73" i="3"/>
  <c r="GM72" i="3" s="1"/>
  <c r="FF73" i="3"/>
  <c r="FF49" i="3"/>
  <c r="FJ49" i="3"/>
  <c r="GM48" i="3" s="1"/>
  <c r="FJ109" i="3"/>
  <c r="FF109" i="3"/>
  <c r="FJ10" i="3"/>
  <c r="GM9" i="3" s="1"/>
  <c r="FF10" i="3"/>
  <c r="FJ153" i="3"/>
  <c r="FF153" i="3"/>
  <c r="FJ136" i="3"/>
  <c r="FF136" i="3"/>
  <c r="FF65" i="3"/>
  <c r="FJ65" i="3"/>
  <c r="GM64" i="3" s="1"/>
  <c r="FJ43" i="3"/>
  <c r="GM42" i="3" s="1"/>
  <c r="FF43" i="3"/>
  <c r="FJ135" i="3"/>
  <c r="FF135" i="3"/>
  <c r="FJ130" i="3"/>
  <c r="FF130" i="3"/>
  <c r="FF69" i="3"/>
  <c r="FJ69" i="3"/>
  <c r="GM68" i="3" s="1"/>
  <c r="FJ17" i="3"/>
  <c r="GM16" i="3" s="1"/>
  <c r="FF17" i="3"/>
  <c r="FJ26" i="3"/>
  <c r="GM25" i="3" s="1"/>
  <c r="FF26" i="3"/>
  <c r="FJ124" i="3"/>
  <c r="FF124" i="3"/>
  <c r="GM78" i="3" l="1"/>
  <c r="GM79" i="3" s="1"/>
  <c r="GM80" i="3" s="1"/>
  <c r="GM81" i="3" s="1"/>
  <c r="GM82" i="3" s="1"/>
  <c r="GM83" i="3" s="1"/>
  <c r="GM84" i="3" s="1"/>
  <c r="GM85" i="3" s="1"/>
  <c r="GM86" i="3" s="1"/>
  <c r="GM87" i="3" s="1"/>
  <c r="GM88" i="3" s="1"/>
  <c r="GM89" i="3" s="1"/>
  <c r="GM90" i="3" s="1"/>
  <c r="GM91" i="3" s="1"/>
  <c r="GM92" i="3" s="1"/>
  <c r="GM93" i="3" s="1"/>
  <c r="GM94" i="3" s="1"/>
  <c r="GM95" i="3" s="1"/>
  <c r="GM96" i="3" s="1"/>
  <c r="GM97" i="3" s="1"/>
  <c r="GM98" i="3" s="1"/>
  <c r="GM99" i="3" s="1"/>
  <c r="GM100" i="3" s="1"/>
  <c r="GM101" i="3" s="1"/>
  <c r="GM102" i="3" s="1"/>
  <c r="GM103" i="3" s="1"/>
  <c r="GM104" i="3" s="1"/>
  <c r="GM105" i="3" s="1"/>
  <c r="GM106" i="3" s="1"/>
  <c r="GM107" i="3" s="1"/>
  <c r="GM108" i="3" s="1"/>
  <c r="GM109" i="3" s="1"/>
  <c r="GM110" i="3" s="1"/>
  <c r="GM111" i="3" s="1"/>
  <c r="GM112" i="3" s="1"/>
  <c r="GM113" i="3" s="1"/>
  <c r="GM114" i="3" s="1"/>
  <c r="GM115" i="3" s="1"/>
  <c r="GM116" i="3" s="1"/>
  <c r="GM117" i="3" s="1"/>
  <c r="GM118" i="3" s="1"/>
  <c r="GM119" i="3" s="1"/>
  <c r="GM120" i="3" s="1"/>
  <c r="GM121" i="3" s="1"/>
  <c r="GM122" i="3" s="1"/>
  <c r="GM123" i="3" s="1"/>
  <c r="GM124" i="3" s="1"/>
  <c r="GM125" i="3" s="1"/>
  <c r="GM126" i="3" s="1"/>
  <c r="GM127" i="3" s="1"/>
  <c r="GM128" i="3" s="1"/>
  <c r="GM129" i="3" s="1"/>
  <c r="GM130" i="3" s="1"/>
  <c r="GM131" i="3" s="1"/>
  <c r="GM132" i="3" s="1"/>
  <c r="GM133" i="3" s="1"/>
  <c r="GM134" i="3" s="1"/>
  <c r="GM135" i="3" s="1"/>
  <c r="GM136" i="3" s="1"/>
  <c r="GM137" i="3" s="1"/>
  <c r="GM138" i="3" s="1"/>
  <c r="GM139" i="3" s="1"/>
  <c r="GM140" i="3" s="1"/>
  <c r="GM141" i="3" s="1"/>
  <c r="GM142" i="3" s="1"/>
  <c r="GM143" i="3" s="1"/>
  <c r="GM144" i="3" s="1"/>
  <c r="GM145" i="3" s="1"/>
  <c r="GM146" i="3" s="1"/>
  <c r="GM147" i="3" s="1"/>
  <c r="GM148" i="3" s="1"/>
  <c r="GM149" i="3" s="1"/>
  <c r="GM150" i="3" s="1"/>
  <c r="GM151" i="3" s="1"/>
  <c r="GM152" i="3" s="1"/>
  <c r="GM153" i="3" s="1"/>
  <c r="GM154" i="3" s="1"/>
  <c r="GM155" i="3" s="1"/>
  <c r="GM156" i="3" s="1"/>
  <c r="GM157" i="3" s="1"/>
  <c r="GM158" i="3" s="1"/>
  <c r="GM159" i="3" s="1"/>
  <c r="GM160" i="3" s="1"/>
  <c r="GM161" i="3" s="1"/>
  <c r="GM162" i="3" s="1"/>
  <c r="GM163" i="3" s="1"/>
  <c r="GM164" i="3" s="1"/>
  <c r="GM165" i="3" s="1"/>
  <c r="GM166" i="3" s="1"/>
  <c r="GM167" i="3" s="1"/>
  <c r="GM168" i="3" s="1"/>
  <c r="GM169" i="3" s="1"/>
  <c r="GM170" i="3" s="1"/>
  <c r="GM171" i="3" s="1"/>
  <c r="GM172" i="3" s="1"/>
  <c r="GM173" i="3" s="1"/>
  <c r="GM174" i="3" s="1"/>
  <c r="GM175" i="3" s="1"/>
  <c r="GM176" i="3" s="1"/>
  <c r="GM177" i="3" s="1"/>
  <c r="GM178" i="3" s="1"/>
  <c r="GM179" i="3" s="1"/>
  <c r="GM180" i="3" s="1"/>
  <c r="GM181" i="3" s="1"/>
  <c r="GM182" i="3" s="1"/>
  <c r="GM183" i="3" s="1"/>
  <c r="GM184" i="3" s="1"/>
  <c r="GM185" i="3" s="1"/>
  <c r="CZ31" i="3"/>
  <c r="GE77" i="3"/>
  <c r="Y140" i="3"/>
  <c r="GE182" i="3"/>
  <c r="Y245" i="3"/>
  <c r="GE14" i="3"/>
  <c r="Y77" i="3"/>
  <c r="GE37" i="3"/>
  <c r="Y100" i="3"/>
  <c r="Y202" i="3"/>
  <c r="GE139" i="3"/>
  <c r="Y97" i="3"/>
  <c r="GE34" i="3"/>
  <c r="Y106" i="3"/>
  <c r="GE43" i="3"/>
  <c r="Y242" i="3"/>
  <c r="GE179" i="3"/>
  <c r="Y102" i="3"/>
  <c r="GE39" i="3"/>
  <c r="GE61" i="3"/>
  <c r="Y124" i="3"/>
  <c r="Y246" i="3"/>
  <c r="GE183" i="3"/>
  <c r="GE153" i="3"/>
  <c r="Y216" i="3"/>
  <c r="GE49" i="3"/>
  <c r="Y112" i="3"/>
  <c r="GE55" i="3"/>
  <c r="Y118" i="3"/>
  <c r="Y158" i="3"/>
  <c r="GE95" i="3"/>
  <c r="GE173" i="3"/>
  <c r="Y236" i="3"/>
  <c r="GE47" i="3"/>
  <c r="Y110" i="3"/>
  <c r="GE59" i="3"/>
  <c r="Y122" i="3"/>
  <c r="Y222" i="3"/>
  <c r="GE159" i="3"/>
  <c r="GE64" i="3"/>
  <c r="Y127" i="3"/>
  <c r="GE18" i="3"/>
  <c r="Y81" i="3"/>
  <c r="Y85" i="3"/>
  <c r="GE22" i="3"/>
  <c r="Y183" i="3"/>
  <c r="GE120" i="3"/>
  <c r="GE176" i="3"/>
  <c r="Y239" i="3"/>
  <c r="GE10" i="3"/>
  <c r="Y73" i="3"/>
  <c r="Y237" i="3"/>
  <c r="GE174" i="3"/>
  <c r="Y193" i="3"/>
  <c r="GE130" i="3"/>
  <c r="GE21" i="3"/>
  <c r="Y84" i="3"/>
  <c r="Y128" i="3"/>
  <c r="GE65" i="3"/>
  <c r="Y215" i="3"/>
  <c r="GE152" i="3"/>
  <c r="Y223" i="3"/>
  <c r="GE160" i="3"/>
  <c r="Y166" i="3"/>
  <c r="GE103" i="3"/>
  <c r="Y103" i="3"/>
  <c r="GE40" i="3"/>
  <c r="GE38" i="3"/>
  <c r="Y101" i="3"/>
  <c r="Y141" i="3"/>
  <c r="GE78" i="3"/>
  <c r="Y115" i="3"/>
  <c r="GE52" i="3"/>
  <c r="GE13" i="3"/>
  <c r="Y76" i="3"/>
  <c r="GE17" i="3"/>
  <c r="Y80" i="3"/>
  <c r="Y195" i="3"/>
  <c r="GE132" i="3"/>
  <c r="GE126" i="3"/>
  <c r="Y189" i="3"/>
  <c r="GE154" i="3"/>
  <c r="Y217" i="3"/>
  <c r="Y241" i="3"/>
  <c r="GE178" i="3"/>
  <c r="Y203" i="3"/>
  <c r="GE140" i="3"/>
  <c r="HI6" i="3"/>
  <c r="IE6" i="3" s="1"/>
  <c r="HC6" i="3"/>
  <c r="HE6" i="3"/>
  <c r="HB7" i="3"/>
  <c r="GE90" i="3"/>
  <c r="Y153" i="3"/>
  <c r="Y72" i="3"/>
  <c r="GE9" i="3"/>
  <c r="Y74" i="3"/>
  <c r="GE11" i="3"/>
  <c r="Y214" i="3"/>
  <c r="GE151" i="3"/>
  <c r="Y225" i="3"/>
  <c r="GE162" i="3"/>
  <c r="GE116" i="3"/>
  <c r="Y179" i="3"/>
  <c r="GE32" i="3"/>
  <c r="Y95" i="3"/>
  <c r="GE84" i="3"/>
  <c r="Y147" i="3"/>
  <c r="GE24" i="3"/>
  <c r="Y87" i="3"/>
  <c r="Y151" i="3"/>
  <c r="GE88" i="3"/>
  <c r="GE57" i="3"/>
  <c r="Y120" i="3"/>
  <c r="GE85" i="3"/>
  <c r="Y148" i="3"/>
  <c r="GE101" i="3"/>
  <c r="Y164" i="3"/>
  <c r="Y145" i="3"/>
  <c r="GE82" i="3"/>
  <c r="Y98" i="3"/>
  <c r="GE35" i="3"/>
  <c r="GE56" i="3"/>
  <c r="Y119" i="3"/>
  <c r="I67" i="3"/>
  <c r="GE100" i="3"/>
  <c r="Y163" i="3"/>
  <c r="GE97" i="3"/>
  <c r="Y160" i="3"/>
  <c r="GE167" i="3"/>
  <c r="Y230" i="3"/>
  <c r="GE185" i="3"/>
  <c r="Y248" i="3"/>
  <c r="Y234" i="3"/>
  <c r="GE171" i="3"/>
  <c r="GE112" i="3"/>
  <c r="Y175" i="3"/>
  <c r="Y188" i="3"/>
  <c r="GE125" i="3"/>
  <c r="GE150" i="3"/>
  <c r="Y213" i="3"/>
  <c r="GE158" i="3"/>
  <c r="Y221" i="3"/>
  <c r="GE114" i="3"/>
  <c r="Y177" i="3"/>
  <c r="Y132" i="3"/>
  <c r="GE69" i="3"/>
  <c r="Y108" i="3"/>
  <c r="GE45" i="3"/>
  <c r="Y157" i="3"/>
  <c r="GE94" i="3"/>
  <c r="Y204" i="3"/>
  <c r="GE141" i="3"/>
  <c r="GE115" i="3"/>
  <c r="Y178" i="3"/>
  <c r="GE122" i="3"/>
  <c r="Y185" i="3"/>
  <c r="Y125" i="3"/>
  <c r="GE62" i="3"/>
  <c r="GE67" i="3"/>
  <c r="Y130" i="3"/>
  <c r="Y121" i="3"/>
  <c r="GE58" i="3"/>
  <c r="GE36" i="3"/>
  <c r="Y99" i="3"/>
  <c r="Y155" i="3"/>
  <c r="GE92" i="3"/>
  <c r="GE110" i="3"/>
  <c r="Y173" i="3"/>
  <c r="GE118" i="3"/>
  <c r="Y181" i="3"/>
  <c r="Y199" i="3"/>
  <c r="GE136" i="3"/>
  <c r="GE81" i="3"/>
  <c r="Y144" i="3"/>
  <c r="GE28" i="3"/>
  <c r="Y91" i="3"/>
  <c r="GE41" i="3"/>
  <c r="Y104" i="3"/>
  <c r="Y94" i="3"/>
  <c r="GE31" i="3"/>
  <c r="Y70" i="3"/>
  <c r="GE7" i="3"/>
  <c r="GE138" i="3"/>
  <c r="Y201" i="3"/>
  <c r="GE180" i="3"/>
  <c r="Y243" i="3"/>
  <c r="GE129" i="3"/>
  <c r="Y192" i="3"/>
  <c r="GE113" i="3"/>
  <c r="Y176" i="3"/>
  <c r="Y186" i="3"/>
  <c r="GE123" i="3"/>
  <c r="GE135" i="3"/>
  <c r="Y198" i="3"/>
  <c r="HD5" i="3"/>
  <c r="HJ5" i="3"/>
  <c r="IF5" i="3" s="1"/>
  <c r="HL5" i="3"/>
  <c r="IH5" i="3" s="1"/>
  <c r="HH5" i="3"/>
  <c r="ID5" i="3" s="1"/>
  <c r="HM5" i="3"/>
  <c r="II5" i="3" s="1"/>
  <c r="HK5" i="3"/>
  <c r="IG5" i="3" s="1"/>
  <c r="Y161" i="3"/>
  <c r="GE98" i="3"/>
  <c r="GE16" i="3"/>
  <c r="Y79" i="3"/>
  <c r="Y88" i="3"/>
  <c r="GE25" i="3"/>
  <c r="GE20" i="3"/>
  <c r="Y83" i="3"/>
  <c r="GE148" i="3"/>
  <c r="Y211" i="3"/>
  <c r="GE172" i="3"/>
  <c r="Y235" i="3"/>
  <c r="GE75" i="3"/>
  <c r="Y138" i="3"/>
  <c r="GE76" i="3"/>
  <c r="Y139" i="3"/>
  <c r="Y105" i="3"/>
  <c r="GE42" i="3"/>
  <c r="Y180" i="3"/>
  <c r="GE117" i="3"/>
  <c r="Y212" i="3"/>
  <c r="GE149" i="3"/>
  <c r="GE29" i="3"/>
  <c r="Y92" i="3"/>
  <c r="Y89" i="3"/>
  <c r="GE26" i="3"/>
  <c r="GE54" i="3"/>
  <c r="Y117" i="3"/>
  <c r="GE30" i="3"/>
  <c r="Y93" i="3"/>
  <c r="GE72" i="3"/>
  <c r="Y135" i="3"/>
  <c r="GE161" i="3"/>
  <c r="Y224" i="3"/>
  <c r="Y205" i="3"/>
  <c r="GE142" i="3"/>
  <c r="GE181" i="3"/>
  <c r="Y244" i="3"/>
  <c r="Y227" i="3"/>
  <c r="GE164" i="3"/>
  <c r="GE137" i="3"/>
  <c r="Y200" i="3"/>
  <c r="Y131" i="3"/>
  <c r="GE68" i="3"/>
  <c r="Y113" i="3"/>
  <c r="GE50" i="3"/>
  <c r="GE87" i="3"/>
  <c r="Y150" i="3"/>
  <c r="GE63" i="3"/>
  <c r="Y126" i="3"/>
  <c r="Y194" i="3"/>
  <c r="GE131" i="3"/>
  <c r="Y197" i="3"/>
  <c r="GE134" i="3"/>
  <c r="Y174" i="3"/>
  <c r="GE111" i="3"/>
  <c r="IC5" i="3"/>
  <c r="GE86" i="3"/>
  <c r="Y149" i="3"/>
  <c r="GE27" i="3"/>
  <c r="Y90" i="3"/>
  <c r="GE107" i="3"/>
  <c r="Y170" i="3"/>
  <c r="Y208" i="3"/>
  <c r="GE145" i="3"/>
  <c r="Y71" i="3"/>
  <c r="GE8" i="3"/>
  <c r="GE46" i="3"/>
  <c r="Y109" i="3"/>
  <c r="Y156" i="3"/>
  <c r="GE93" i="3"/>
  <c r="GE99" i="3"/>
  <c r="Y162" i="3"/>
  <c r="GE70" i="3"/>
  <c r="Y133" i="3"/>
  <c r="Y233" i="3"/>
  <c r="GE170" i="3"/>
  <c r="Y142" i="3"/>
  <c r="GE79" i="3"/>
  <c r="Y228" i="3"/>
  <c r="GE165" i="3"/>
  <c r="HZ4" i="3"/>
  <c r="HF4" i="3"/>
  <c r="IA4" i="3" s="1"/>
  <c r="C28" i="3" s="1"/>
  <c r="Y68" i="3"/>
  <c r="GE5" i="3"/>
  <c r="Y75" i="3"/>
  <c r="GE12" i="3"/>
  <c r="Y152" i="3"/>
  <c r="GE89" i="3"/>
  <c r="Y231" i="3"/>
  <c r="GE168" i="3"/>
  <c r="Y206" i="3"/>
  <c r="GE143" i="3"/>
  <c r="GE83" i="3"/>
  <c r="Y146" i="3"/>
  <c r="GE6" i="3"/>
  <c r="Y69" i="3"/>
  <c r="GE96" i="3"/>
  <c r="Y159" i="3"/>
  <c r="GE146" i="3"/>
  <c r="Y209" i="3"/>
  <c r="GE133" i="3"/>
  <c r="Y196" i="3"/>
  <c r="GE147" i="3"/>
  <c r="Y210" i="3"/>
  <c r="Y172" i="3"/>
  <c r="GE109" i="3"/>
  <c r="GE80" i="3"/>
  <c r="Y143" i="3"/>
  <c r="Y129" i="3"/>
  <c r="GE66" i="3"/>
  <c r="Y165" i="3"/>
  <c r="GE102" i="3"/>
  <c r="Y238" i="3"/>
  <c r="GE175" i="3"/>
  <c r="Y191" i="3"/>
  <c r="GE128" i="3"/>
  <c r="GE121" i="3"/>
  <c r="Y184" i="3"/>
  <c r="Y111" i="3"/>
  <c r="GE48" i="3"/>
  <c r="GE33" i="3"/>
  <c r="Y96" i="3"/>
  <c r="Y219" i="3"/>
  <c r="GE156" i="3"/>
  <c r="Y171" i="3"/>
  <c r="GE108" i="3"/>
  <c r="GE19" i="3"/>
  <c r="Y82" i="3"/>
  <c r="GE73" i="3"/>
  <c r="Y136" i="3"/>
  <c r="GE74" i="3"/>
  <c r="Y137" i="3"/>
  <c r="Y134" i="3"/>
  <c r="GE71" i="3"/>
  <c r="Y78" i="3"/>
  <c r="GE15" i="3"/>
  <c r="GE44" i="3"/>
  <c r="Y107" i="3"/>
  <c r="Y169" i="3"/>
  <c r="GE106" i="3"/>
  <c r="Y247" i="3"/>
  <c r="GE184" i="3"/>
  <c r="Y226" i="3"/>
  <c r="GE163" i="3"/>
  <c r="Y187" i="3"/>
  <c r="GE124" i="3"/>
  <c r="GE155" i="3"/>
  <c r="Y218" i="3"/>
  <c r="G28" i="3"/>
  <c r="O28" i="3"/>
  <c r="Y86" i="3"/>
  <c r="GE23" i="3"/>
  <c r="Y116" i="3"/>
  <c r="GE53" i="3"/>
  <c r="GE104" i="3"/>
  <c r="Y167" i="3"/>
  <c r="GE127" i="3"/>
  <c r="Y190" i="3"/>
  <c r="Y220" i="3"/>
  <c r="GE157" i="3"/>
  <c r="GE51" i="3"/>
  <c r="Y114" i="3"/>
  <c r="GE60" i="3"/>
  <c r="Y123" i="3"/>
  <c r="GE91" i="3"/>
  <c r="Y154" i="3"/>
  <c r="Y240" i="3"/>
  <c r="GE177" i="3"/>
  <c r="GE166" i="3"/>
  <c r="Y229" i="3"/>
  <c r="Y207" i="3"/>
  <c r="GE144" i="3"/>
  <c r="GE105" i="3"/>
  <c r="Y168" i="3"/>
  <c r="GE169" i="3"/>
  <c r="Y232" i="3"/>
  <c r="GE119" i="3"/>
  <c r="Y182" i="3"/>
  <c r="Q28" i="3" l="1"/>
  <c r="C67" i="3"/>
  <c r="S28" i="3"/>
  <c r="U28" i="3"/>
  <c r="M28" i="3"/>
  <c r="X28" i="3"/>
  <c r="Y28" i="3" s="1"/>
  <c r="W28" i="3"/>
  <c r="I28" i="3"/>
  <c r="J28" i="3"/>
  <c r="K28" i="3"/>
  <c r="HZ5" i="3"/>
  <c r="HF5" i="3"/>
  <c r="IA5" i="3" s="1"/>
  <c r="C29" i="3" s="1"/>
  <c r="HK6" i="3"/>
  <c r="IG6" i="3" s="1"/>
  <c r="HJ6" i="3"/>
  <c r="IF6" i="3" s="1"/>
  <c r="HH6" i="3"/>
  <c r="ID6" i="3" s="1"/>
  <c r="HL6" i="3"/>
  <c r="IH6" i="3" s="1"/>
  <c r="HD6" i="3"/>
  <c r="HM6" i="3"/>
  <c r="II6" i="3" s="1"/>
  <c r="G29" i="3"/>
  <c r="O29" i="3"/>
  <c r="IC6" i="3"/>
  <c r="HI7" i="3"/>
  <c r="IE7" i="3" s="1"/>
  <c r="HB8" i="3"/>
  <c r="HE7" i="3"/>
  <c r="HC7" i="3"/>
  <c r="C68" i="3" l="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S29" i="3"/>
  <c r="Q29" i="3"/>
  <c r="X29" i="3"/>
  <c r="Y29" i="3" s="1"/>
  <c r="M29" i="3"/>
  <c r="U29" i="3"/>
  <c r="W29" i="3"/>
  <c r="IC7" i="3"/>
  <c r="HC8" i="3"/>
  <c r="HB9" i="3"/>
  <c r="HI8" i="3"/>
  <c r="IE8" i="3" s="1"/>
  <c r="HE8" i="3"/>
  <c r="J29" i="3"/>
  <c r="K29" i="3"/>
  <c r="I29" i="3"/>
  <c r="O30" i="3"/>
  <c r="G30" i="3"/>
  <c r="HM7" i="3"/>
  <c r="II7" i="3" s="1"/>
  <c r="HD7" i="3"/>
  <c r="HK7" i="3"/>
  <c r="IG7" i="3" s="1"/>
  <c r="HL7" i="3"/>
  <c r="IH7" i="3" s="1"/>
  <c r="HH7" i="3"/>
  <c r="ID7" i="3" s="1"/>
  <c r="HJ7" i="3"/>
  <c r="IF7" i="3" s="1"/>
  <c r="HZ6" i="3"/>
  <c r="HF6" i="3"/>
  <c r="IA6" i="3" s="1"/>
  <c r="C30" i="3" s="1"/>
  <c r="S30" i="3" l="1"/>
  <c r="Q30" i="3"/>
  <c r="W30" i="3"/>
  <c r="U30" i="3"/>
  <c r="K30" i="3"/>
  <c r="J30" i="3"/>
  <c r="I30" i="3"/>
  <c r="X30" i="3"/>
  <c r="Y30" i="3" s="1"/>
  <c r="HZ7" i="3"/>
  <c r="HF7" i="3"/>
  <c r="IA7" i="3" s="1"/>
  <c r="C31" i="3" s="1"/>
  <c r="HD8" i="3"/>
  <c r="HL8" i="3"/>
  <c r="IH8" i="3" s="1"/>
  <c r="HK8" i="3"/>
  <c r="IG8" i="3" s="1"/>
  <c r="HH8" i="3"/>
  <c r="ID8" i="3" s="1"/>
  <c r="HM8" i="3"/>
  <c r="II8" i="3" s="1"/>
  <c r="HJ8" i="3"/>
  <c r="IF8" i="3" s="1"/>
  <c r="HI9" i="3"/>
  <c r="IE9" i="3" s="1"/>
  <c r="HC9" i="3"/>
  <c r="HE9" i="3"/>
  <c r="HB10" i="3"/>
  <c r="IC8" i="3"/>
  <c r="O31" i="3"/>
  <c r="G31" i="3"/>
  <c r="M30" i="3"/>
  <c r="S31" i="3" l="1"/>
  <c r="HD9" i="3"/>
  <c r="HM9" i="3"/>
  <c r="II9" i="3" s="1"/>
  <c r="HL9" i="3"/>
  <c r="IH9" i="3" s="1"/>
  <c r="HK9" i="3"/>
  <c r="IG9" i="3" s="1"/>
  <c r="HH9" i="3"/>
  <c r="ID9" i="3" s="1"/>
  <c r="HJ9" i="3"/>
  <c r="IF9" i="3" s="1"/>
  <c r="O32" i="3"/>
  <c r="G32" i="3"/>
  <c r="IC9" i="3"/>
  <c r="K31" i="3"/>
  <c r="J31" i="3"/>
  <c r="I31" i="3"/>
  <c r="HZ8" i="3"/>
  <c r="HF8" i="3"/>
  <c r="IA8" i="3" s="1"/>
  <c r="C32" i="3" s="1"/>
  <c r="M31" i="3"/>
  <c r="X31" i="3"/>
  <c r="Y31" i="3" s="1"/>
  <c r="U31" i="3"/>
  <c r="W31" i="3"/>
  <c r="Q31" i="3"/>
  <c r="HC10" i="3"/>
  <c r="HB11" i="3"/>
  <c r="HE10" i="3"/>
  <c r="HI10" i="3"/>
  <c r="IE10" i="3" s="1"/>
  <c r="S32" i="3" l="1"/>
  <c r="Q32" i="3"/>
  <c r="M32" i="3"/>
  <c r="I32" i="3"/>
  <c r="K32" i="3"/>
  <c r="J32" i="3"/>
  <c r="IC10" i="3"/>
  <c r="HD10" i="3"/>
  <c r="HL10" i="3"/>
  <c r="IH10" i="3" s="1"/>
  <c r="HK10" i="3"/>
  <c r="IG10" i="3" s="1"/>
  <c r="HJ10" i="3"/>
  <c r="IF10" i="3" s="1"/>
  <c r="HM10" i="3"/>
  <c r="II10" i="3" s="1"/>
  <c r="HH10" i="3"/>
  <c r="ID10" i="3" s="1"/>
  <c r="X32" i="3"/>
  <c r="Y32" i="3" s="1"/>
  <c r="W32" i="3"/>
  <c r="U32" i="3"/>
  <c r="O33" i="3"/>
  <c r="G33" i="3"/>
  <c r="HB12" i="3"/>
  <c r="HE11" i="3"/>
  <c r="HI11" i="3"/>
  <c r="IE11" i="3" s="1"/>
  <c r="HC11" i="3"/>
  <c r="HZ9" i="3"/>
  <c r="HF9" i="3"/>
  <c r="IA9" i="3" s="1"/>
  <c r="C33" i="3" s="1"/>
  <c r="S33" i="3" l="1"/>
  <c r="IC11" i="3"/>
  <c r="U33" i="3"/>
  <c r="W33" i="3"/>
  <c r="I33" i="3"/>
  <c r="J33" i="3"/>
  <c r="K33" i="3"/>
  <c r="M33" i="3"/>
  <c r="HH11" i="3"/>
  <c r="ID11" i="3" s="1"/>
  <c r="HK11" i="3"/>
  <c r="IG11" i="3" s="1"/>
  <c r="HL11" i="3"/>
  <c r="IH11" i="3" s="1"/>
  <c r="HJ11" i="3"/>
  <c r="IF11" i="3" s="1"/>
  <c r="HM11" i="3"/>
  <c r="II11" i="3" s="1"/>
  <c r="HD11" i="3"/>
  <c r="Q33" i="3"/>
  <c r="HC12" i="3"/>
  <c r="HI12" i="3"/>
  <c r="IE12" i="3" s="1"/>
  <c r="HE12" i="3"/>
  <c r="HB13" i="3"/>
  <c r="X33" i="3"/>
  <c r="Y33" i="3" s="1"/>
  <c r="HZ10" i="3"/>
  <c r="HF10" i="3"/>
  <c r="IA10" i="3" s="1"/>
  <c r="C34" i="3" s="1"/>
  <c r="O34" i="3"/>
  <c r="G34" i="3"/>
  <c r="S34" i="3" l="1"/>
  <c r="Q34" i="3"/>
  <c r="HC13" i="3"/>
  <c r="HI13" i="3"/>
  <c r="IE13" i="3" s="1"/>
  <c r="HE13" i="3"/>
  <c r="HB14" i="3"/>
  <c r="X34" i="3"/>
  <c r="Y34" i="3" s="1"/>
  <c r="O35" i="3"/>
  <c r="G35" i="3"/>
  <c r="J34" i="3"/>
  <c r="K34" i="3"/>
  <c r="I34" i="3"/>
  <c r="IC12" i="3"/>
  <c r="HZ11" i="3"/>
  <c r="HF11" i="3"/>
  <c r="IA11" i="3" s="1"/>
  <c r="C35" i="3" s="1"/>
  <c r="U34" i="3"/>
  <c r="W34" i="3"/>
  <c r="M34" i="3"/>
  <c r="HH12" i="3"/>
  <c r="ID12" i="3" s="1"/>
  <c r="HL12" i="3"/>
  <c r="IH12" i="3" s="1"/>
  <c r="HJ12" i="3"/>
  <c r="IF12" i="3" s="1"/>
  <c r="HM12" i="3"/>
  <c r="II12" i="3" s="1"/>
  <c r="HK12" i="3"/>
  <c r="IG12" i="3" s="1"/>
  <c r="HD12" i="3"/>
  <c r="S35" i="3" l="1"/>
  <c r="M35" i="3"/>
  <c r="X35" i="3"/>
  <c r="Y35" i="3" s="1"/>
  <c r="K35" i="3"/>
  <c r="I35" i="3"/>
  <c r="J35" i="3"/>
  <c r="HZ12" i="3"/>
  <c r="HF12" i="3"/>
  <c r="IA12" i="3" s="1"/>
  <c r="C36" i="3" s="1"/>
  <c r="Q35" i="3"/>
  <c r="O36" i="3"/>
  <c r="G36" i="3"/>
  <c r="HC14" i="3"/>
  <c r="HE14" i="3"/>
  <c r="HB15" i="3"/>
  <c r="HI14" i="3"/>
  <c r="IE14" i="3" s="1"/>
  <c r="IC13" i="3"/>
  <c r="W35" i="3"/>
  <c r="U35" i="3"/>
  <c r="HJ13" i="3"/>
  <c r="IF13" i="3" s="1"/>
  <c r="HK13" i="3"/>
  <c r="IG13" i="3" s="1"/>
  <c r="HM13" i="3"/>
  <c r="II13" i="3" s="1"/>
  <c r="HD13" i="3"/>
  <c r="HL13" i="3"/>
  <c r="IH13" i="3" s="1"/>
  <c r="HH13" i="3"/>
  <c r="ID13" i="3" s="1"/>
  <c r="Q36" i="3" l="1"/>
  <c r="S36" i="3"/>
  <c r="M36" i="3"/>
  <c r="J36" i="3"/>
  <c r="K36" i="3"/>
  <c r="I36" i="3"/>
  <c r="IC14" i="3"/>
  <c r="HZ13" i="3"/>
  <c r="HF13" i="3"/>
  <c r="IA13" i="3" s="1"/>
  <c r="C37" i="3" s="1"/>
  <c r="HH14" i="3"/>
  <c r="ID14" i="3" s="1"/>
  <c r="HD14" i="3"/>
  <c r="HK14" i="3"/>
  <c r="IG14" i="3" s="1"/>
  <c r="HJ14" i="3"/>
  <c r="IF14" i="3" s="1"/>
  <c r="HM14" i="3"/>
  <c r="II14" i="3" s="1"/>
  <c r="HL14" i="3"/>
  <c r="IH14" i="3" s="1"/>
  <c r="W36" i="3"/>
  <c r="U36" i="3"/>
  <c r="X36" i="3"/>
  <c r="Y36" i="3" s="1"/>
  <c r="G37" i="3"/>
  <c r="O37" i="3"/>
  <c r="HI15" i="3"/>
  <c r="IE15" i="3" s="1"/>
  <c r="HC15" i="3"/>
  <c r="HB16" i="3"/>
  <c r="HE15" i="3"/>
  <c r="Q37" i="3" l="1"/>
  <c r="S37" i="3"/>
  <c r="HI16" i="3"/>
  <c r="IE16" i="3" s="1"/>
  <c r="HE16" i="3"/>
  <c r="HC16" i="3"/>
  <c r="HB17" i="3"/>
  <c r="K37" i="3"/>
  <c r="J37" i="3"/>
  <c r="I37" i="3"/>
  <c r="U37" i="3"/>
  <c r="W37" i="3"/>
  <c r="HZ14" i="3"/>
  <c r="HF14" i="3"/>
  <c r="IA14" i="3" s="1"/>
  <c r="C38" i="3" s="1"/>
  <c r="HK15" i="3"/>
  <c r="IG15" i="3" s="1"/>
  <c r="HH15" i="3"/>
  <c r="ID15" i="3" s="1"/>
  <c r="HJ15" i="3"/>
  <c r="IF15" i="3" s="1"/>
  <c r="HD15" i="3"/>
  <c r="HM15" i="3"/>
  <c r="II15" i="3" s="1"/>
  <c r="HL15" i="3"/>
  <c r="IH15" i="3" s="1"/>
  <c r="O38" i="3"/>
  <c r="G38" i="3"/>
  <c r="IC15" i="3"/>
  <c r="M37" i="3"/>
  <c r="X37" i="3"/>
  <c r="Y37" i="3" s="1"/>
  <c r="Q38" i="3" l="1"/>
  <c r="S38" i="3"/>
  <c r="W38" i="3"/>
  <c r="U38" i="3"/>
  <c r="X38" i="3"/>
  <c r="Y38" i="3" s="1"/>
  <c r="HI17" i="3"/>
  <c r="IE17" i="3" s="1"/>
  <c r="HC17" i="3"/>
  <c r="HE17" i="3"/>
  <c r="HB18" i="3"/>
  <c r="HH16" i="3"/>
  <c r="ID16" i="3" s="1"/>
  <c r="HD16" i="3"/>
  <c r="HM16" i="3"/>
  <c r="II16" i="3" s="1"/>
  <c r="HJ16" i="3"/>
  <c r="IF16" i="3" s="1"/>
  <c r="HK16" i="3"/>
  <c r="IG16" i="3" s="1"/>
  <c r="HL16" i="3"/>
  <c r="IH16" i="3" s="1"/>
  <c r="IC16" i="3"/>
  <c r="J38" i="3"/>
  <c r="I38" i="3"/>
  <c r="K38" i="3"/>
  <c r="HZ15" i="3"/>
  <c r="HF15" i="3"/>
  <c r="IA15" i="3" s="1"/>
  <c r="C39" i="3" s="1"/>
  <c r="O39" i="3"/>
  <c r="G39" i="3"/>
  <c r="M38" i="3"/>
  <c r="S39" i="3" l="1"/>
  <c r="Q39" i="3"/>
  <c r="M39" i="3"/>
  <c r="I39" i="3"/>
  <c r="J39" i="3"/>
  <c r="K39" i="3"/>
  <c r="O40" i="3"/>
  <c r="G40" i="3"/>
  <c r="HE18" i="3"/>
  <c r="HI18" i="3"/>
  <c r="IE18" i="3" s="1"/>
  <c r="HB19" i="3"/>
  <c r="HC18" i="3"/>
  <c r="HD17" i="3"/>
  <c r="HJ17" i="3"/>
  <c r="IF17" i="3" s="1"/>
  <c r="HM17" i="3"/>
  <c r="II17" i="3" s="1"/>
  <c r="HH17" i="3"/>
  <c r="ID17" i="3" s="1"/>
  <c r="HK17" i="3"/>
  <c r="IG17" i="3" s="1"/>
  <c r="HL17" i="3"/>
  <c r="IH17" i="3" s="1"/>
  <c r="IC17" i="3"/>
  <c r="U39" i="3"/>
  <c r="W39" i="3"/>
  <c r="HZ16" i="3"/>
  <c r="HF16" i="3"/>
  <c r="IA16" i="3" s="1"/>
  <c r="C40" i="3" s="1"/>
  <c r="X39" i="3"/>
  <c r="Y39" i="3" s="1"/>
  <c r="S40" i="3" l="1"/>
  <c r="X40" i="3"/>
  <c r="Y40" i="3" s="1"/>
  <c r="HZ17" i="3"/>
  <c r="HF17" i="3"/>
  <c r="IA17" i="3" s="1"/>
  <c r="C41" i="3" s="1"/>
  <c r="HI19" i="3"/>
  <c r="IE19" i="3" s="1"/>
  <c r="HC19" i="3"/>
  <c r="HE19" i="3"/>
  <c r="HB20" i="3"/>
  <c r="Q40" i="3"/>
  <c r="O41" i="3"/>
  <c r="G41" i="3"/>
  <c r="HH18" i="3"/>
  <c r="ID18" i="3" s="1"/>
  <c r="HK18" i="3"/>
  <c r="IG18" i="3" s="1"/>
  <c r="HJ18" i="3"/>
  <c r="IF18" i="3" s="1"/>
  <c r="HL18" i="3"/>
  <c r="IH18" i="3" s="1"/>
  <c r="HD18" i="3"/>
  <c r="HM18" i="3"/>
  <c r="II18" i="3" s="1"/>
  <c r="IC18" i="3"/>
  <c r="W40" i="3"/>
  <c r="U40" i="3"/>
  <c r="M40" i="3"/>
  <c r="I40" i="3"/>
  <c r="K40" i="3"/>
  <c r="J40" i="3"/>
  <c r="S41" i="3" l="1"/>
  <c r="M41" i="3"/>
  <c r="X41" i="3"/>
  <c r="Y41" i="3" s="1"/>
  <c r="K41" i="3"/>
  <c r="J41" i="3"/>
  <c r="I41" i="3"/>
  <c r="HC20" i="3"/>
  <c r="HI20" i="3"/>
  <c r="IE20" i="3" s="1"/>
  <c r="HB21" i="3"/>
  <c r="HE20" i="3"/>
  <c r="G42" i="3"/>
  <c r="O42" i="3"/>
  <c r="HJ19" i="3"/>
  <c r="IF19" i="3" s="1"/>
  <c r="HL19" i="3"/>
  <c r="IH19" i="3" s="1"/>
  <c r="HK19" i="3"/>
  <c r="IG19" i="3" s="1"/>
  <c r="HM19" i="3"/>
  <c r="II19" i="3" s="1"/>
  <c r="HD19" i="3"/>
  <c r="HH19" i="3"/>
  <c r="ID19" i="3" s="1"/>
  <c r="U41" i="3"/>
  <c r="W41" i="3"/>
  <c r="Q41" i="3"/>
  <c r="HZ18" i="3"/>
  <c r="HF18" i="3"/>
  <c r="IA18" i="3" s="1"/>
  <c r="C42" i="3" s="1"/>
  <c r="IC19" i="3"/>
  <c r="S42" i="3" l="1"/>
  <c r="X42" i="3"/>
  <c r="Y42" i="3" s="1"/>
  <c r="M42" i="3"/>
  <c r="O43" i="3"/>
  <c r="G43" i="3"/>
  <c r="Q42" i="3"/>
  <c r="I42" i="3"/>
  <c r="J42" i="3"/>
  <c r="K42" i="3"/>
  <c r="HC21" i="3"/>
  <c r="HI21" i="3"/>
  <c r="IE21" i="3" s="1"/>
  <c r="HE21" i="3"/>
  <c r="HB22" i="3"/>
  <c r="HZ19" i="3"/>
  <c r="HF19" i="3"/>
  <c r="IA19" i="3" s="1"/>
  <c r="C43" i="3" s="1"/>
  <c r="HJ20" i="3"/>
  <c r="IF20" i="3" s="1"/>
  <c r="HD20" i="3"/>
  <c r="HM20" i="3"/>
  <c r="II20" i="3" s="1"/>
  <c r="HK20" i="3"/>
  <c r="IG20" i="3" s="1"/>
  <c r="HL20" i="3"/>
  <c r="IH20" i="3" s="1"/>
  <c r="HH20" i="3"/>
  <c r="ID20" i="3" s="1"/>
  <c r="U42" i="3"/>
  <c r="W42" i="3"/>
  <c r="IC20" i="3"/>
  <c r="S43" i="3" l="1"/>
  <c r="Q43" i="3"/>
  <c r="M43" i="3"/>
  <c r="HC22" i="3"/>
  <c r="HB23" i="3"/>
  <c r="HI22" i="3"/>
  <c r="IE22" i="3" s="1"/>
  <c r="HE22" i="3"/>
  <c r="W43" i="3"/>
  <c r="U43" i="3"/>
  <c r="O44" i="3"/>
  <c r="G44" i="3"/>
  <c r="X43" i="3"/>
  <c r="Y43" i="3" s="1"/>
  <c r="HK21" i="3"/>
  <c r="IG21" i="3" s="1"/>
  <c r="HH21" i="3"/>
  <c r="ID21" i="3" s="1"/>
  <c r="HM21" i="3"/>
  <c r="II21" i="3" s="1"/>
  <c r="HJ21" i="3"/>
  <c r="IF21" i="3" s="1"/>
  <c r="HL21" i="3"/>
  <c r="IH21" i="3" s="1"/>
  <c r="HD21" i="3"/>
  <c r="J43" i="3"/>
  <c r="I43" i="3"/>
  <c r="K43" i="3"/>
  <c r="HZ20" i="3"/>
  <c r="HF20" i="3"/>
  <c r="IA20" i="3" s="1"/>
  <c r="C44" i="3" s="1"/>
  <c r="IC21" i="3"/>
  <c r="S44" i="3" l="1"/>
  <c r="Q44" i="3"/>
  <c r="M44" i="3"/>
  <c r="K44" i="3"/>
  <c r="J44" i="3"/>
  <c r="I44" i="3"/>
  <c r="HZ21" i="3"/>
  <c r="HF21" i="3"/>
  <c r="IA21" i="3" s="1"/>
  <c r="C45" i="3" s="1"/>
  <c r="HI23" i="3"/>
  <c r="IE23" i="3" s="1"/>
  <c r="HC23" i="3"/>
  <c r="HB24" i="3"/>
  <c r="HE23" i="3"/>
  <c r="HH23" i="3" s="1"/>
  <c r="ID23" i="3" s="1"/>
  <c r="O45" i="3"/>
  <c r="G45" i="3"/>
  <c r="W44" i="3"/>
  <c r="U44" i="3"/>
  <c r="X44" i="3"/>
  <c r="Y44" i="3" s="1"/>
  <c r="HK22" i="3"/>
  <c r="IG22" i="3" s="1"/>
  <c r="HL22" i="3"/>
  <c r="IH22" i="3" s="1"/>
  <c r="HJ22" i="3"/>
  <c r="IF22" i="3" s="1"/>
  <c r="HD22" i="3"/>
  <c r="HM22" i="3"/>
  <c r="II22" i="3" s="1"/>
  <c r="HH22" i="3"/>
  <c r="ID22" i="3" s="1"/>
  <c r="IC22" i="3"/>
  <c r="Q45" i="3" l="1"/>
  <c r="S45" i="3"/>
  <c r="M45" i="3"/>
  <c r="HJ23" i="3"/>
  <c r="IF23" i="3" s="1"/>
  <c r="HM23" i="3"/>
  <c r="II23" i="3" s="1"/>
  <c r="HD23" i="3"/>
  <c r="HK23" i="3"/>
  <c r="IG23" i="3" s="1"/>
  <c r="HL23" i="3"/>
  <c r="IH23" i="3" s="1"/>
  <c r="X45" i="3"/>
  <c r="Y45" i="3" s="1"/>
  <c r="IC23" i="3"/>
  <c r="HI24" i="3"/>
  <c r="IE24" i="3" s="1"/>
  <c r="HC24" i="3"/>
  <c r="HE24" i="3"/>
  <c r="HB25" i="3"/>
  <c r="O46" i="3"/>
  <c r="G46" i="3"/>
  <c r="HZ22" i="3"/>
  <c r="HF22" i="3"/>
  <c r="IA22" i="3" s="1"/>
  <c r="C46" i="3" s="1"/>
  <c r="J45" i="3"/>
  <c r="I45" i="3"/>
  <c r="K45" i="3"/>
  <c r="W45" i="3"/>
  <c r="U45" i="3"/>
  <c r="Q46" i="3" l="1"/>
  <c r="S46" i="3"/>
  <c r="HZ23" i="3"/>
  <c r="HF23" i="3"/>
  <c r="IA23" i="3" s="1"/>
  <c r="C47" i="3" s="1"/>
  <c r="X46" i="3"/>
  <c r="Y46" i="3" s="1"/>
  <c r="HM24" i="3"/>
  <c r="II24" i="3" s="1"/>
  <c r="HL24" i="3"/>
  <c r="IH24" i="3" s="1"/>
  <c r="HJ24" i="3"/>
  <c r="IF24" i="3" s="1"/>
  <c r="HH24" i="3"/>
  <c r="ID24" i="3" s="1"/>
  <c r="HD24" i="3"/>
  <c r="HK24" i="3"/>
  <c r="IG24" i="3" s="1"/>
  <c r="HE25" i="3"/>
  <c r="HC25" i="3"/>
  <c r="HI25" i="3"/>
  <c r="IE25" i="3" s="1"/>
  <c r="HB26" i="3"/>
  <c r="W46" i="3"/>
  <c r="U46" i="3"/>
  <c r="M46" i="3"/>
  <c r="I46" i="3"/>
  <c r="K46" i="3"/>
  <c r="J46" i="3"/>
  <c r="IC24" i="3"/>
  <c r="O47" i="3"/>
  <c r="G47" i="3"/>
  <c r="Q47" i="3" l="1"/>
  <c r="S47" i="3"/>
  <c r="M47" i="3"/>
  <c r="HZ24" i="3"/>
  <c r="HF24" i="3"/>
  <c r="IA24" i="3" s="1"/>
  <c r="C48" i="3" s="1"/>
  <c r="U47" i="3"/>
  <c r="W47" i="3"/>
  <c r="X47" i="3"/>
  <c r="Y47" i="3" s="1"/>
  <c r="HK25" i="3"/>
  <c r="IG25" i="3" s="1"/>
  <c r="HH25" i="3"/>
  <c r="ID25" i="3" s="1"/>
  <c r="HD25" i="3"/>
  <c r="HM25" i="3"/>
  <c r="II25" i="3" s="1"/>
  <c r="HJ25" i="3"/>
  <c r="IF25" i="3" s="1"/>
  <c r="HL25" i="3"/>
  <c r="IH25" i="3" s="1"/>
  <c r="K47" i="3"/>
  <c r="J47" i="3"/>
  <c r="I47" i="3"/>
  <c r="HI26" i="3"/>
  <c r="IE26" i="3" s="1"/>
  <c r="HC26" i="3"/>
  <c r="HB27" i="3"/>
  <c r="HE26" i="3"/>
  <c r="HJ26" i="3" s="1"/>
  <c r="G48" i="3"/>
  <c r="O48" i="3"/>
  <c r="IC25" i="3"/>
  <c r="O49" i="3" l="1"/>
  <c r="S48" i="3"/>
  <c r="HZ25" i="3"/>
  <c r="HF25" i="3"/>
  <c r="IA25" i="3" s="1"/>
  <c r="C49" i="3" s="1"/>
  <c r="M48" i="3"/>
  <c r="W48" i="3"/>
  <c r="X48" i="3"/>
  <c r="Y48" i="3" s="1"/>
  <c r="U48" i="3"/>
  <c r="Q48" i="3"/>
  <c r="HK26" i="3"/>
  <c r="IG26" i="3" s="1"/>
  <c r="HM26" i="3"/>
  <c r="II26" i="3" s="1"/>
  <c r="HL26" i="3"/>
  <c r="IH26" i="3" s="1"/>
  <c r="HD26" i="3"/>
  <c r="HH26" i="3"/>
  <c r="ID26" i="3" s="1"/>
  <c r="IF26" i="3"/>
  <c r="HI27" i="3"/>
  <c r="IE27" i="3" s="1"/>
  <c r="HE27" i="3"/>
  <c r="HC27" i="3"/>
  <c r="HB28" i="3"/>
  <c r="IC26" i="3"/>
  <c r="G49" i="3"/>
  <c r="K48" i="3"/>
  <c r="I48" i="3"/>
  <c r="J48" i="3"/>
  <c r="S49" i="3" l="1"/>
  <c r="M49" i="3"/>
  <c r="U49" i="3"/>
  <c r="X49" i="3"/>
  <c r="Y49" i="3" s="1"/>
  <c r="W49" i="3"/>
  <c r="Q49" i="3"/>
  <c r="HZ26" i="3"/>
  <c r="HF26" i="3"/>
  <c r="IA26" i="3" s="1"/>
  <c r="C50" i="3" s="1"/>
  <c r="K49" i="3"/>
  <c r="J49" i="3"/>
  <c r="I49" i="3"/>
  <c r="HE28" i="3"/>
  <c r="HC28" i="3"/>
  <c r="HI28" i="3"/>
  <c r="IE28" i="3" s="1"/>
  <c r="HB29" i="3"/>
  <c r="HL27" i="3"/>
  <c r="IH27" i="3" s="1"/>
  <c r="HM27" i="3"/>
  <c r="II27" i="3" s="1"/>
  <c r="HK27" i="3"/>
  <c r="IG27" i="3" s="1"/>
  <c r="HJ27" i="3"/>
  <c r="IF27" i="3" s="1"/>
  <c r="HD27" i="3"/>
  <c r="HH27" i="3"/>
  <c r="ID27" i="3" s="1"/>
  <c r="O50" i="3"/>
  <c r="G50" i="3"/>
  <c r="IC27" i="3"/>
  <c r="S50" i="3" l="1"/>
  <c r="HZ27" i="3"/>
  <c r="HF27" i="3"/>
  <c r="IA27" i="3" s="1"/>
  <c r="C51" i="3" s="1"/>
  <c r="Q50" i="3"/>
  <c r="W50" i="3"/>
  <c r="X50" i="3"/>
  <c r="Y50" i="3" s="1"/>
  <c r="U50" i="3"/>
  <c r="M50" i="3"/>
  <c r="G51" i="3"/>
  <c r="O51" i="3"/>
  <c r="K50" i="3"/>
  <c r="I50" i="3"/>
  <c r="J50" i="3"/>
  <c r="HH28" i="3"/>
  <c r="ID28" i="3" s="1"/>
  <c r="HK28" i="3"/>
  <c r="IG28" i="3" s="1"/>
  <c r="HD28" i="3"/>
  <c r="HM28" i="3"/>
  <c r="II28" i="3" s="1"/>
  <c r="HL28" i="3"/>
  <c r="IH28" i="3" s="1"/>
  <c r="HJ28" i="3"/>
  <c r="IF28" i="3" s="1"/>
  <c r="IC28" i="3"/>
  <c r="HI29" i="3"/>
  <c r="IE29" i="3" s="1"/>
  <c r="HE29" i="3"/>
  <c r="HC29" i="3"/>
  <c r="HB30" i="3"/>
  <c r="S51" i="3" l="1"/>
  <c r="HZ28" i="3"/>
  <c r="HF28" i="3"/>
  <c r="IA28" i="3" s="1"/>
  <c r="C52" i="3" s="1"/>
  <c r="X51" i="3"/>
  <c r="Y51" i="3" s="1"/>
  <c r="M51" i="3"/>
  <c r="U51" i="3"/>
  <c r="Q51" i="3"/>
  <c r="W51" i="3"/>
  <c r="IC29" i="3"/>
  <c r="O52" i="3"/>
  <c r="G52" i="3"/>
  <c r="HI30" i="3"/>
  <c r="IE30" i="3" s="1"/>
  <c r="HF30" i="3"/>
  <c r="IA30" i="3" s="1"/>
  <c r="C54" i="3" s="1"/>
  <c r="HB31" i="3"/>
  <c r="HE30" i="3"/>
  <c r="HC30" i="3"/>
  <c r="HL29" i="3"/>
  <c r="IH29" i="3" s="1"/>
  <c r="HK29" i="3"/>
  <c r="IG29" i="3" s="1"/>
  <c r="HD29" i="3"/>
  <c r="HJ29" i="3"/>
  <c r="IF29" i="3" s="1"/>
  <c r="HM29" i="3"/>
  <c r="II29" i="3" s="1"/>
  <c r="HH29" i="3"/>
  <c r="ID29" i="3" s="1"/>
  <c r="J51" i="3"/>
  <c r="I51" i="3"/>
  <c r="K51" i="3"/>
  <c r="S52" i="3" l="1"/>
  <c r="Q52" i="3"/>
  <c r="W52" i="3"/>
  <c r="M52" i="3"/>
  <c r="X52" i="3"/>
  <c r="Y52" i="3" s="1"/>
  <c r="U52" i="3"/>
  <c r="HZ29" i="3"/>
  <c r="HF29" i="3"/>
  <c r="IA29" i="3" s="1"/>
  <c r="C53" i="3" s="1"/>
  <c r="S54" i="3" s="1"/>
  <c r="IC30" i="3"/>
  <c r="HA30" i="3"/>
  <c r="HL30" i="3"/>
  <c r="IH30" i="3" s="1"/>
  <c r="HD30" i="3"/>
  <c r="HZ30" i="3" s="1"/>
  <c r="HK30" i="3"/>
  <c r="IG30" i="3" s="1"/>
  <c r="HM30" i="3"/>
  <c r="II30" i="3" s="1"/>
  <c r="HJ30" i="3"/>
  <c r="IF30" i="3" s="1"/>
  <c r="HH30" i="3"/>
  <c r="ID30" i="3" s="1"/>
  <c r="Y54" i="3"/>
  <c r="U54" i="3"/>
  <c r="W54" i="3"/>
  <c r="J52" i="3"/>
  <c r="I52" i="3"/>
  <c r="K52" i="3"/>
  <c r="HF31" i="3"/>
  <c r="IA31" i="3" s="1"/>
  <c r="C55" i="3" s="1"/>
  <c r="S55" i="3" s="1"/>
  <c r="HE31" i="3"/>
  <c r="HC31" i="3"/>
  <c r="HB32" i="3"/>
  <c r="HI31" i="3"/>
  <c r="IE31" i="3" s="1"/>
  <c r="G53" i="3"/>
  <c r="O53" i="3"/>
  <c r="S53" i="3" l="1"/>
  <c r="X53" i="3"/>
  <c r="X54" i="3" s="1"/>
  <c r="U53" i="3"/>
  <c r="W53" i="3"/>
  <c r="Q53" i="3"/>
  <c r="Q54" i="3" s="1"/>
  <c r="M53" i="3"/>
  <c r="M54" i="3" s="1"/>
  <c r="I53" i="3"/>
  <c r="K53" i="3"/>
  <c r="J53" i="3"/>
  <c r="HC32" i="3"/>
  <c r="HE32" i="3"/>
  <c r="HI32" i="3"/>
  <c r="IE32" i="3" s="1"/>
  <c r="HF32" i="3"/>
  <c r="IA32" i="3" s="1"/>
  <c r="C56" i="3" s="1"/>
  <c r="HB33" i="3"/>
  <c r="U55" i="3"/>
  <c r="Y55" i="3"/>
  <c r="W55" i="3"/>
  <c r="M55" i="3"/>
  <c r="IC31" i="3"/>
  <c r="HA31" i="3"/>
  <c r="Q55" i="3"/>
  <c r="X55" i="3"/>
  <c r="HD31" i="3"/>
  <c r="HZ31" i="3" s="1"/>
  <c r="HM31" i="3"/>
  <c r="II31" i="3" s="1"/>
  <c r="HH31" i="3"/>
  <c r="ID31" i="3" s="1"/>
  <c r="HJ31" i="3"/>
  <c r="IF31" i="3" s="1"/>
  <c r="HK31" i="3"/>
  <c r="IG31" i="3" s="1"/>
  <c r="HL31" i="3"/>
  <c r="IH31" i="3" s="1"/>
  <c r="O54" i="3"/>
  <c r="G54" i="3"/>
  <c r="Q56" i="3" l="1"/>
  <c r="S56" i="3"/>
  <c r="Y53" i="3"/>
  <c r="X56" i="3"/>
  <c r="M56" i="3"/>
  <c r="HI33" i="3"/>
  <c r="IE33" i="3" s="1"/>
  <c r="HE33" i="3"/>
  <c r="HF33" i="3"/>
  <c r="IA33" i="3" s="1"/>
  <c r="C57" i="3" s="1"/>
  <c r="S57" i="3" s="1"/>
  <c r="HC33" i="3"/>
  <c r="HB34" i="3"/>
  <c r="O55" i="3"/>
  <c r="G55" i="3"/>
  <c r="IC32" i="3"/>
  <c r="HA32" i="3"/>
  <c r="J54" i="3"/>
  <c r="I54" i="3"/>
  <c r="K54" i="3"/>
  <c r="W56" i="3"/>
  <c r="U56" i="3"/>
  <c r="Y56" i="3"/>
  <c r="HD32" i="3"/>
  <c r="HZ32" i="3" s="1"/>
  <c r="HK32" i="3"/>
  <c r="IG32" i="3" s="1"/>
  <c r="HM32" i="3"/>
  <c r="II32" i="3" s="1"/>
  <c r="HH32" i="3"/>
  <c r="ID32" i="3" s="1"/>
  <c r="HL32" i="3"/>
  <c r="IH32" i="3" s="1"/>
  <c r="HJ32" i="3"/>
  <c r="IF32" i="3" s="1"/>
  <c r="Q57" i="3" l="1"/>
  <c r="X57" i="3"/>
  <c r="M57" i="3"/>
  <c r="I55" i="3"/>
  <c r="K55" i="3"/>
  <c r="J55" i="3"/>
  <c r="HB35" i="3"/>
  <c r="HI34" i="3"/>
  <c r="IE34" i="3" s="1"/>
  <c r="HC34" i="3"/>
  <c r="HE34" i="3"/>
  <c r="HF34" i="3"/>
  <c r="IA34" i="3" s="1"/>
  <c r="C58" i="3" s="1"/>
  <c r="U57" i="3"/>
  <c r="Y57" i="3"/>
  <c r="W57" i="3"/>
  <c r="O56" i="3"/>
  <c r="G56" i="3"/>
  <c r="IC33" i="3"/>
  <c r="HA33" i="3"/>
  <c r="HL33" i="3"/>
  <c r="IH33" i="3" s="1"/>
  <c r="HD33" i="3"/>
  <c r="HZ33" i="3" s="1"/>
  <c r="HJ33" i="3"/>
  <c r="IF33" i="3" s="1"/>
  <c r="HK33" i="3"/>
  <c r="IG33" i="3" s="1"/>
  <c r="HM33" i="3"/>
  <c r="II33" i="3" s="1"/>
  <c r="HH33" i="3"/>
  <c r="ID33" i="3" s="1"/>
  <c r="X58" i="3" l="1"/>
  <c r="S58" i="3"/>
  <c r="Q58" i="3"/>
  <c r="M58" i="3"/>
  <c r="O57" i="3"/>
  <c r="G57" i="3"/>
  <c r="HD34" i="3"/>
  <c r="HZ34" i="3" s="1"/>
  <c r="HK34" i="3"/>
  <c r="IG34" i="3" s="1"/>
  <c r="HH34" i="3"/>
  <c r="ID34" i="3" s="1"/>
  <c r="HL34" i="3"/>
  <c r="IH34" i="3" s="1"/>
  <c r="HM34" i="3"/>
  <c r="II34" i="3" s="1"/>
  <c r="HJ34" i="3"/>
  <c r="IF34" i="3" s="1"/>
  <c r="K56" i="3"/>
  <c r="I56" i="3"/>
  <c r="J56" i="3"/>
  <c r="IC34" i="3"/>
  <c r="HA34" i="3"/>
  <c r="HI35" i="3"/>
  <c r="IE35" i="3" s="1"/>
  <c r="HF35" i="3"/>
  <c r="IA35" i="3" s="1"/>
  <c r="C59" i="3" s="1"/>
  <c r="M59" i="3" s="1"/>
  <c r="HE35" i="3"/>
  <c r="HC35" i="3"/>
  <c r="HB36" i="3"/>
  <c r="U58" i="3"/>
  <c r="W58" i="3"/>
  <c r="Y58" i="3"/>
  <c r="S59" i="3" l="1"/>
  <c r="Q59" i="3"/>
  <c r="X59" i="3"/>
  <c r="O58" i="3"/>
  <c r="G58" i="3"/>
  <c r="HC36" i="3"/>
  <c r="HF36" i="3"/>
  <c r="IA36" i="3" s="1"/>
  <c r="HB37" i="3"/>
  <c r="HI36" i="3"/>
  <c r="IE36" i="3" s="1"/>
  <c r="HE36" i="3"/>
  <c r="HK35" i="3"/>
  <c r="IG35" i="3" s="1"/>
  <c r="HH35" i="3"/>
  <c r="ID35" i="3" s="1"/>
  <c r="HM35" i="3"/>
  <c r="II35" i="3" s="1"/>
  <c r="HL35" i="3"/>
  <c r="IH35" i="3" s="1"/>
  <c r="HJ35" i="3"/>
  <c r="IF35" i="3" s="1"/>
  <c r="HD35" i="3"/>
  <c r="HZ35" i="3" s="1"/>
  <c r="IC35" i="3"/>
  <c r="HA35" i="3"/>
  <c r="K57" i="3"/>
  <c r="J57" i="3"/>
  <c r="I57" i="3"/>
  <c r="Y59" i="3"/>
  <c r="W59" i="3"/>
  <c r="U59" i="3"/>
  <c r="HL36" i="3" l="1"/>
  <c r="IH36" i="3" s="1"/>
  <c r="HD36" i="3"/>
  <c r="HZ36" i="3" s="1"/>
  <c r="HK36" i="3"/>
  <c r="IG36" i="3" s="1"/>
  <c r="HJ36" i="3"/>
  <c r="IF36" i="3" s="1"/>
  <c r="HH36" i="3"/>
  <c r="ID36" i="3" s="1"/>
  <c r="HM36" i="3"/>
  <c r="II36" i="3" s="1"/>
  <c r="O59" i="3"/>
  <c r="G59" i="3"/>
  <c r="HF37" i="3"/>
  <c r="IA37" i="3" s="1"/>
  <c r="HC37" i="3"/>
  <c r="HB38" i="3"/>
  <c r="HE37" i="3"/>
  <c r="HI37" i="3"/>
  <c r="IE37" i="3" s="1"/>
  <c r="IC36" i="3"/>
  <c r="HA36" i="3"/>
  <c r="I58" i="3"/>
  <c r="K58" i="3"/>
  <c r="J58" i="3"/>
  <c r="HK37" i="3" l="1"/>
  <c r="IG37" i="3" s="1"/>
  <c r="HH37" i="3"/>
  <c r="ID37" i="3" s="1"/>
  <c r="HM37" i="3"/>
  <c r="II37" i="3" s="1"/>
  <c r="HD37" i="3"/>
  <c r="HZ37" i="3" s="1"/>
  <c r="HJ37" i="3"/>
  <c r="IF37" i="3" s="1"/>
  <c r="HL37" i="3"/>
  <c r="IH37" i="3" s="1"/>
  <c r="J59" i="3"/>
  <c r="K59" i="3"/>
  <c r="I59" i="3"/>
  <c r="HC38" i="3"/>
  <c r="HF38" i="3"/>
  <c r="IA38" i="3" s="1"/>
  <c r="HB39" i="3"/>
  <c r="HE38" i="3"/>
  <c r="HI38" i="3"/>
  <c r="IE38" i="3" s="1"/>
  <c r="IC37" i="3"/>
  <c r="HA37" i="3"/>
  <c r="HD38" i="3" l="1"/>
  <c r="HZ38" i="3" s="1"/>
  <c r="HL38" i="3"/>
  <c r="IH38" i="3" s="1"/>
  <c r="HM38" i="3"/>
  <c r="II38" i="3" s="1"/>
  <c r="HH38" i="3"/>
  <c r="ID38" i="3" s="1"/>
  <c r="HK38" i="3"/>
  <c r="IG38" i="3" s="1"/>
  <c r="HJ38" i="3"/>
  <c r="IF38" i="3" s="1"/>
  <c r="IC38" i="3"/>
  <c r="HA38" i="3"/>
  <c r="HF39" i="3"/>
  <c r="IA39" i="3" s="1"/>
  <c r="HI39" i="3"/>
  <c r="IE39" i="3" s="1"/>
  <c r="HB40" i="3"/>
  <c r="HC39" i="3"/>
  <c r="HE39" i="3"/>
  <c r="HM39" i="3" l="1"/>
  <c r="II39" i="3" s="1"/>
  <c r="HL39" i="3"/>
  <c r="IH39" i="3" s="1"/>
  <c r="HJ39" i="3"/>
  <c r="IF39" i="3" s="1"/>
  <c r="HK39" i="3"/>
  <c r="IG39" i="3" s="1"/>
  <c r="HH39" i="3"/>
  <c r="ID39" i="3" s="1"/>
  <c r="HD39" i="3"/>
  <c r="HZ39" i="3" s="1"/>
  <c r="HA39" i="3"/>
  <c r="IC39" i="3"/>
  <c r="HC40" i="3"/>
  <c r="HE40" i="3"/>
  <c r="HI40" i="3"/>
  <c r="IE40" i="3" s="1"/>
  <c r="HF40" i="3"/>
  <c r="IA40" i="3" s="1"/>
  <c r="HB41" i="3"/>
  <c r="HC41" i="3" l="1"/>
  <c r="HI41" i="3"/>
  <c r="IE41" i="3" s="1"/>
  <c r="HF41" i="3"/>
  <c r="IA41" i="3" s="1"/>
  <c r="HE41" i="3"/>
  <c r="HB42" i="3"/>
  <c r="HH40" i="3"/>
  <c r="ID40" i="3" s="1"/>
  <c r="HM40" i="3"/>
  <c r="II40" i="3" s="1"/>
  <c r="HJ40" i="3"/>
  <c r="IF40" i="3" s="1"/>
  <c r="HK40" i="3"/>
  <c r="IG40" i="3" s="1"/>
  <c r="HD40" i="3"/>
  <c r="HZ40" i="3" s="1"/>
  <c r="HL40" i="3"/>
  <c r="IH40" i="3" s="1"/>
  <c r="IC40" i="3"/>
  <c r="HA40" i="3"/>
  <c r="HF42" i="3" l="1"/>
  <c r="HB43" i="3"/>
  <c r="HE42" i="3"/>
  <c r="HI42" i="3"/>
  <c r="HC42" i="3"/>
  <c r="HA42" i="3" s="1"/>
  <c r="HK41" i="3"/>
  <c r="IG41" i="3" s="1"/>
  <c r="HD41" i="3"/>
  <c r="HZ41" i="3" s="1"/>
  <c r="HJ41" i="3"/>
  <c r="IF41" i="3" s="1"/>
  <c r="HM41" i="3"/>
  <c r="II41" i="3" s="1"/>
  <c r="HL41" i="3"/>
  <c r="IH41" i="3" s="1"/>
  <c r="HH41" i="3"/>
  <c r="ID41" i="3" s="1"/>
  <c r="HA41" i="3"/>
  <c r="IC41" i="3"/>
  <c r="HH42" i="3" l="1"/>
  <c r="HM42" i="3"/>
  <c r="HL42" i="3"/>
  <c r="HD42" i="3"/>
  <c r="HJ42" i="3"/>
  <c r="HK42" i="3"/>
  <c r="HI43" i="3"/>
  <c r="HE43" i="3"/>
  <c r="HF43" i="3"/>
  <c r="HC43" i="3"/>
  <c r="HA24" i="3" l="1"/>
  <c r="HA25" i="3"/>
  <c r="HA23" i="3"/>
  <c r="HA28" i="3"/>
  <c r="HA27" i="3"/>
  <c r="HA26" i="3"/>
  <c r="HA29" i="3"/>
  <c r="HK43" i="3"/>
  <c r="HM43" i="3"/>
  <c r="HL43" i="3"/>
  <c r="HH43" i="3"/>
  <c r="HJ43" i="3"/>
  <c r="HD43" i="3"/>
  <c r="HA43" i="3"/>
  <c r="HA5" i="3"/>
  <c r="HA4" i="3"/>
  <c r="HA9" i="3"/>
  <c r="HA6" i="3"/>
  <c r="HA8" i="3"/>
  <c r="HA7" i="3"/>
  <c r="HA10" i="3"/>
  <c r="HA11" i="3"/>
  <c r="HA12" i="3"/>
  <c r="HA13" i="3"/>
  <c r="HA14" i="3"/>
  <c r="HA15" i="3"/>
  <c r="HA17" i="3"/>
  <c r="HA16" i="3"/>
  <c r="HA21" i="3"/>
  <c r="HA18" i="3"/>
  <c r="HA20" i="3"/>
  <c r="HA22" i="3"/>
  <c r="HA19" i="3"/>
  <c r="HY4" i="3" l="1"/>
  <c r="HX4" i="3"/>
  <c r="HT4" i="3"/>
  <c r="HP4" i="3"/>
  <c r="HU4" i="3"/>
  <c r="HW4" i="3"/>
  <c r="HQ4" i="3"/>
  <c r="HO4" i="3"/>
  <c r="HN4" i="3" s="1"/>
  <c r="HO5" i="3"/>
  <c r="HU5" i="3"/>
  <c r="HT5" i="3"/>
  <c r="HQ5" i="3"/>
  <c r="HP5" i="3"/>
  <c r="HY5" i="3"/>
  <c r="HV5" i="3"/>
  <c r="HW5" i="3"/>
  <c r="HX5" i="3"/>
  <c r="HP6" i="3"/>
  <c r="HX6" i="3"/>
  <c r="HW6" i="3"/>
  <c r="HY6" i="3"/>
  <c r="HU6" i="3"/>
  <c r="HT6" i="3"/>
  <c r="HQ6" i="3"/>
  <c r="HV6" i="3"/>
  <c r="HO6" i="3"/>
  <c r="HT7" i="3"/>
  <c r="HY7" i="3"/>
  <c r="HW7" i="3"/>
  <c r="HU7" i="3"/>
  <c r="HP7" i="3"/>
  <c r="HO7" i="3"/>
  <c r="HX7" i="3"/>
  <c r="HQ7" i="3"/>
  <c r="HV7" i="3"/>
  <c r="HY8" i="3"/>
  <c r="HP8" i="3"/>
  <c r="HV8" i="3"/>
  <c r="HT8" i="3"/>
  <c r="HX8" i="3"/>
  <c r="HQ8" i="3"/>
  <c r="HU8" i="3"/>
  <c r="HO8" i="3"/>
  <c r="HW8" i="3"/>
  <c r="HT9" i="3"/>
  <c r="HY9" i="3"/>
  <c r="HX9" i="3"/>
  <c r="HO9" i="3"/>
  <c r="HQ9" i="3"/>
  <c r="HW9" i="3"/>
  <c r="HV9" i="3"/>
  <c r="HU9" i="3"/>
  <c r="HP9" i="3"/>
  <c r="HT10" i="3"/>
  <c r="HW10" i="3"/>
  <c r="HO10" i="3"/>
  <c r="HQ10" i="3"/>
  <c r="HU10" i="3"/>
  <c r="HP10" i="3"/>
  <c r="HX10" i="3"/>
  <c r="HV10" i="3"/>
  <c r="HY10" i="3"/>
  <c r="HQ11" i="3"/>
  <c r="HU11" i="3"/>
  <c r="HW11" i="3"/>
  <c r="HV11" i="3"/>
  <c r="HT11" i="3"/>
  <c r="HO11" i="3"/>
  <c r="HX11" i="3"/>
  <c r="HY11" i="3"/>
  <c r="HP11" i="3"/>
  <c r="HQ12" i="3"/>
  <c r="HW12" i="3"/>
  <c r="HY12" i="3"/>
  <c r="HU12" i="3"/>
  <c r="HP12" i="3"/>
  <c r="HO12" i="3"/>
  <c r="HV12" i="3"/>
  <c r="HX12" i="3"/>
  <c r="HT12" i="3"/>
  <c r="HT13" i="3"/>
  <c r="HP13" i="3"/>
  <c r="HW13" i="3"/>
  <c r="HY13" i="3"/>
  <c r="HQ13" i="3"/>
  <c r="HO13" i="3"/>
  <c r="HU13" i="3"/>
  <c r="HX13" i="3"/>
  <c r="HV13" i="3"/>
  <c r="HX14" i="3"/>
  <c r="HV14" i="3"/>
  <c r="HT14" i="3"/>
  <c r="HW14" i="3"/>
  <c r="HP14" i="3"/>
  <c r="HQ14" i="3"/>
  <c r="HO14" i="3"/>
  <c r="HY14" i="3"/>
  <c r="HU14" i="3"/>
  <c r="HP15" i="3"/>
  <c r="HO15" i="3"/>
  <c r="HW15" i="3"/>
  <c r="HU15" i="3"/>
  <c r="HQ15" i="3"/>
  <c r="HX15" i="3"/>
  <c r="HV15" i="3"/>
  <c r="HT15" i="3"/>
  <c r="HY15" i="3"/>
  <c r="HT16" i="3"/>
  <c r="HW16" i="3"/>
  <c r="HV16" i="3"/>
  <c r="HY16" i="3"/>
  <c r="HX16" i="3"/>
  <c r="HU16" i="3"/>
  <c r="HO16" i="3"/>
  <c r="HP16" i="3"/>
  <c r="HQ16" i="3"/>
  <c r="HP17" i="3"/>
  <c r="HT17" i="3"/>
  <c r="HU17" i="3"/>
  <c r="HW17" i="3"/>
  <c r="HX17" i="3"/>
  <c r="HV17" i="3"/>
  <c r="HQ17" i="3"/>
  <c r="HY17" i="3"/>
  <c r="HO17" i="3"/>
  <c r="HU18" i="3"/>
  <c r="HX18" i="3"/>
  <c r="HY18" i="3"/>
  <c r="HQ18" i="3"/>
  <c r="HW18" i="3"/>
  <c r="HV18" i="3"/>
  <c r="HO18" i="3"/>
  <c r="HP18" i="3"/>
  <c r="HT18" i="3"/>
  <c r="HX19" i="3"/>
  <c r="HY19" i="3"/>
  <c r="HT19" i="3"/>
  <c r="HU19" i="3"/>
  <c r="HQ19" i="3"/>
  <c r="HW19" i="3"/>
  <c r="HP19" i="3"/>
  <c r="HV19" i="3"/>
  <c r="HO19" i="3"/>
  <c r="HQ20" i="3"/>
  <c r="HO20" i="3"/>
  <c r="HY20" i="3"/>
  <c r="HU20" i="3"/>
  <c r="HV20" i="3"/>
  <c r="HX20" i="3"/>
  <c r="HP20" i="3"/>
  <c r="HT20" i="3"/>
  <c r="HW20" i="3"/>
  <c r="HP21" i="3"/>
  <c r="HO21" i="3"/>
  <c r="HY21" i="3"/>
  <c r="HT21" i="3"/>
  <c r="HW21" i="3"/>
  <c r="HQ21" i="3"/>
  <c r="HU21" i="3"/>
  <c r="HX21" i="3"/>
  <c r="HV21" i="3"/>
  <c r="HY22" i="3"/>
  <c r="HV22" i="3"/>
  <c r="HU22" i="3"/>
  <c r="HW22" i="3"/>
  <c r="HO22" i="3"/>
  <c r="HT22" i="3"/>
  <c r="HX22" i="3"/>
  <c r="HP22" i="3"/>
  <c r="HQ22" i="3"/>
  <c r="HX23" i="3"/>
  <c r="HW23" i="3"/>
  <c r="HY23" i="3"/>
  <c r="HU23" i="3"/>
  <c r="HV23" i="3"/>
  <c r="HT23" i="3"/>
  <c r="HP23" i="3"/>
  <c r="HO23" i="3"/>
  <c r="HQ23" i="3"/>
  <c r="HX24" i="3"/>
  <c r="HW24" i="3"/>
  <c r="HP24" i="3"/>
  <c r="HY24" i="3"/>
  <c r="HV24" i="3"/>
  <c r="HO24" i="3"/>
  <c r="HQ24" i="3"/>
  <c r="HT24" i="3"/>
  <c r="HU24" i="3"/>
  <c r="HQ25" i="3"/>
  <c r="HV25" i="3"/>
  <c r="HW25" i="3"/>
  <c r="HP25" i="3"/>
  <c r="HX25" i="3"/>
  <c r="HT25" i="3"/>
  <c r="HU25" i="3"/>
  <c r="HY25" i="3"/>
  <c r="HO25" i="3"/>
  <c r="HU26" i="3"/>
  <c r="HY26" i="3"/>
  <c r="HW26" i="3"/>
  <c r="HT26" i="3"/>
  <c r="HP26" i="3"/>
  <c r="HQ26" i="3"/>
  <c r="HX26" i="3"/>
  <c r="HV26" i="3"/>
  <c r="HO26" i="3"/>
  <c r="HV27" i="3"/>
  <c r="HQ27" i="3"/>
  <c r="HX27" i="3"/>
  <c r="HT27" i="3"/>
  <c r="HW27" i="3"/>
  <c r="HP27" i="3"/>
  <c r="HO27" i="3"/>
  <c r="HY27" i="3"/>
  <c r="HU27" i="3"/>
  <c r="HX28" i="3"/>
  <c r="HW28" i="3"/>
  <c r="HO28" i="3"/>
  <c r="HU28" i="3"/>
  <c r="HQ28" i="3"/>
  <c r="HP28" i="3"/>
  <c r="HY28" i="3"/>
  <c r="HV28" i="3"/>
  <c r="HT28" i="3"/>
  <c r="HP29" i="3"/>
  <c r="HY29" i="3"/>
  <c r="HV29" i="3"/>
  <c r="HO29" i="3"/>
  <c r="HX29" i="3"/>
  <c r="HQ29" i="3"/>
  <c r="HT29" i="3"/>
  <c r="HW29" i="3"/>
  <c r="HU29" i="3"/>
  <c r="HW30" i="3"/>
  <c r="HT30" i="3"/>
  <c r="HP30" i="3"/>
  <c r="HY30" i="3"/>
  <c r="HU30" i="3"/>
  <c r="HX30" i="3"/>
  <c r="HQ30" i="3"/>
  <c r="HV30" i="3"/>
  <c r="HO30" i="3"/>
  <c r="HN30" i="3" s="1"/>
  <c r="HR30" i="3" s="1"/>
  <c r="HQ31" i="3"/>
  <c r="HT31" i="3"/>
  <c r="HV31" i="3"/>
  <c r="HY31" i="3"/>
  <c r="HO31" i="3"/>
  <c r="HN31" i="3" s="1"/>
  <c r="HR31" i="3" s="1"/>
  <c r="HX31" i="3"/>
  <c r="HU31" i="3"/>
  <c r="HP31" i="3"/>
  <c r="HW31" i="3"/>
  <c r="HT32" i="3"/>
  <c r="HV32" i="3"/>
  <c r="HW32" i="3"/>
  <c r="HP32" i="3"/>
  <c r="HO32" i="3"/>
  <c r="HN32" i="3" s="1"/>
  <c r="HR32" i="3" s="1"/>
  <c r="HX32" i="3"/>
  <c r="HU32" i="3"/>
  <c r="HY32" i="3"/>
  <c r="HQ32" i="3"/>
  <c r="HQ33" i="3"/>
  <c r="HV33" i="3"/>
  <c r="HX33" i="3"/>
  <c r="HT33" i="3"/>
  <c r="HO33" i="3"/>
  <c r="HN33" i="3" s="1"/>
  <c r="HR33" i="3" s="1"/>
  <c r="HY33" i="3"/>
  <c r="HW33" i="3"/>
  <c r="HU33" i="3"/>
  <c r="HP33" i="3"/>
  <c r="HX34" i="3"/>
  <c r="HY34" i="3"/>
  <c r="HV34" i="3"/>
  <c r="HU34" i="3"/>
  <c r="HW34" i="3"/>
  <c r="HP34" i="3"/>
  <c r="HO34" i="3"/>
  <c r="HN34" i="3" s="1"/>
  <c r="HR34" i="3" s="1"/>
  <c r="HT34" i="3"/>
  <c r="HQ34" i="3"/>
  <c r="HU35" i="3"/>
  <c r="HO35" i="3"/>
  <c r="HN35" i="3" s="1"/>
  <c r="HR35" i="3" s="1"/>
  <c r="HT35" i="3"/>
  <c r="HQ35" i="3"/>
  <c r="HY35" i="3"/>
  <c r="HX35" i="3"/>
  <c r="HW35" i="3"/>
  <c r="HV35" i="3"/>
  <c r="HP35" i="3"/>
  <c r="HP36" i="3"/>
  <c r="HU36" i="3"/>
  <c r="HT36" i="3"/>
  <c r="HQ36" i="3"/>
  <c r="HY36" i="3"/>
  <c r="HX36" i="3"/>
  <c r="HW36" i="3"/>
  <c r="HV36" i="3"/>
  <c r="HO36" i="3"/>
  <c r="HN36" i="3" s="1"/>
  <c r="HR36" i="3" s="1"/>
  <c r="HW37" i="3"/>
  <c r="HO37" i="3"/>
  <c r="HN37" i="3" s="1"/>
  <c r="HR37" i="3" s="1"/>
  <c r="HT37" i="3"/>
  <c r="HU37" i="3"/>
  <c r="HV37" i="3"/>
  <c r="HX37" i="3"/>
  <c r="HQ37" i="3"/>
  <c r="HP37" i="3"/>
  <c r="HY37" i="3"/>
  <c r="HV38" i="3"/>
  <c r="HT38" i="3"/>
  <c r="HW38" i="3"/>
  <c r="HP38" i="3"/>
  <c r="HU38" i="3"/>
  <c r="HY38" i="3"/>
  <c r="HX38" i="3"/>
  <c r="HO38" i="3"/>
  <c r="HN38" i="3" s="1"/>
  <c r="HR38" i="3" s="1"/>
  <c r="HQ38" i="3"/>
  <c r="HX39" i="3"/>
  <c r="HP39" i="3"/>
  <c r="HU39" i="3"/>
  <c r="HV39" i="3"/>
  <c r="HY39" i="3"/>
  <c r="HO39" i="3"/>
  <c r="HN39" i="3" s="1"/>
  <c r="HR39" i="3" s="1"/>
  <c r="HW39" i="3"/>
  <c r="HQ39" i="3"/>
  <c r="HT39" i="3"/>
  <c r="HY40" i="3"/>
  <c r="HV40" i="3"/>
  <c r="HU40" i="3"/>
  <c r="HQ40" i="3"/>
  <c r="HO40" i="3"/>
  <c r="HN40" i="3" s="1"/>
  <c r="HR40" i="3" s="1"/>
  <c r="HT40" i="3"/>
  <c r="HX40" i="3"/>
  <c r="HW40" i="3"/>
  <c r="HP40" i="3"/>
  <c r="HQ41" i="3"/>
  <c r="HP41" i="3"/>
  <c r="HV41" i="3"/>
  <c r="HX41" i="3"/>
  <c r="HO41" i="3"/>
  <c r="HN41" i="3" s="1"/>
  <c r="HR41" i="3" s="1"/>
  <c r="HY41" i="3"/>
  <c r="HW41" i="3"/>
  <c r="HU41" i="3"/>
  <c r="HT41" i="3"/>
  <c r="HR4" i="3" l="1"/>
  <c r="HN5" i="3"/>
  <c r="HR5" i="3" s="1"/>
  <c r="HN6" i="3" l="1"/>
  <c r="HR6" i="3" l="1"/>
  <c r="HN7" i="3"/>
  <c r="HR7" i="3" l="1"/>
  <c r="HN8" i="3"/>
  <c r="HR8" i="3" l="1"/>
  <c r="HN9" i="3"/>
  <c r="HR9" i="3" l="1"/>
  <c r="HN10" i="3"/>
  <c r="HR10" i="3" l="1"/>
  <c r="HN11" i="3"/>
  <c r="HR11" i="3" l="1"/>
  <c r="HN12" i="3"/>
  <c r="HR12" i="3" l="1"/>
  <c r="HN13" i="3"/>
  <c r="HR13" i="3" l="1"/>
  <c r="HN14" i="3"/>
  <c r="HR14" i="3" l="1"/>
  <c r="HN15" i="3"/>
  <c r="HR15" i="3" l="1"/>
  <c r="HN16" i="3"/>
  <c r="HR16" i="3" l="1"/>
  <c r="HN17" i="3"/>
  <c r="HR17" i="3" l="1"/>
  <c r="HN18" i="3"/>
  <c r="HR18" i="3" l="1"/>
  <c r="HN19" i="3"/>
  <c r="HR19" i="3" l="1"/>
  <c r="HN20" i="3"/>
  <c r="HR20" i="3" l="1"/>
  <c r="HN21" i="3"/>
  <c r="HR21" i="3" l="1"/>
  <c r="HN22" i="3"/>
  <c r="HR22" i="3" l="1"/>
  <c r="HN23" i="3"/>
  <c r="HR23" i="3" l="1"/>
  <c r="HN24" i="3"/>
  <c r="HR24" i="3" l="1"/>
  <c r="HN25" i="3"/>
  <c r="HR25" i="3" l="1"/>
  <c r="HN26" i="3"/>
  <c r="HR26" i="3" l="1"/>
  <c r="HN27" i="3"/>
  <c r="HR27" i="3" l="1"/>
  <c r="HN28" i="3"/>
  <c r="HR28" i="3" l="1"/>
  <c r="HN29" i="3"/>
  <c r="HR29" i="3" s="1"/>
</calcChain>
</file>

<file path=xl/comments1.xml><?xml version="1.0" encoding="utf-8"?>
<comments xmlns="http://schemas.openxmlformats.org/spreadsheetml/2006/main">
  <authors>
    <author>Shannon Ackert</author>
  </authors>
  <commentList>
    <comment ref="U6" authorId="0">
      <text>
        <r>
          <rPr>
            <b/>
            <sz val="9"/>
            <color indexed="81"/>
            <rFont val="Tahoma"/>
            <family val="2"/>
          </rPr>
          <t xml:space="preserve">Engine Build Standard:
</t>
        </r>
        <r>
          <rPr>
            <sz val="9"/>
            <color indexed="81"/>
            <rFont val="Tahoma"/>
            <family val="2"/>
          </rPr>
          <t>The target time on-wing as measured by LLP stub-life flight cycles.</t>
        </r>
      </text>
    </comment>
  </commentList>
</comments>
</file>

<file path=xl/sharedStrings.xml><?xml version="1.0" encoding="utf-8"?>
<sst xmlns="http://schemas.openxmlformats.org/spreadsheetml/2006/main" count="1183" uniqueCount="557">
  <si>
    <t>APU Ratio</t>
  </si>
  <si>
    <t>Temperate</t>
  </si>
  <si>
    <t>Event</t>
  </si>
  <si>
    <t>Cost $</t>
  </si>
  <si>
    <t>Engine</t>
  </si>
  <si>
    <t>First-Run</t>
  </si>
  <si>
    <t>Mature-Run</t>
  </si>
  <si>
    <t>Variant</t>
  </si>
  <si>
    <t>Thrust</t>
  </si>
  <si>
    <t>$ / FH</t>
  </si>
  <si>
    <t>$ / FC</t>
  </si>
  <si>
    <t>Mo</t>
  </si>
  <si>
    <t>FH</t>
  </si>
  <si>
    <t>FC</t>
  </si>
  <si>
    <t>Aircraft</t>
  </si>
  <si>
    <t>Cost</t>
  </si>
  <si>
    <t>Low</t>
  </si>
  <si>
    <t>High</t>
  </si>
  <si>
    <t>Derate</t>
  </si>
  <si>
    <t>Factor</t>
  </si>
  <si>
    <t>Erosive</t>
  </si>
  <si>
    <t>Flight</t>
  </si>
  <si>
    <t>Leg</t>
  </si>
  <si>
    <t>Engine :</t>
  </si>
  <si>
    <t>Aircraft :</t>
  </si>
  <si>
    <t>Region</t>
  </si>
  <si>
    <t>FR Lbr</t>
  </si>
  <si>
    <t>MR Lbr</t>
  </si>
  <si>
    <t>FR Sev</t>
  </si>
  <si>
    <t>MR Sev</t>
  </si>
  <si>
    <t>Low Thrust Factors</t>
  </si>
  <si>
    <t>High Thrust Factors</t>
  </si>
  <si>
    <t>Rest $</t>
  </si>
  <si>
    <t>Acft</t>
  </si>
  <si>
    <t>List</t>
  </si>
  <si>
    <t>Aicraft / Engine Combinations</t>
  </si>
  <si>
    <t>LLP $</t>
  </si>
  <si>
    <t>Stub $</t>
  </si>
  <si>
    <t>FC Out</t>
  </si>
  <si>
    <t>LLP</t>
  </si>
  <si>
    <t>Cycle</t>
  </si>
  <si>
    <t>Limit</t>
  </si>
  <si>
    <t>Shop Visit 1 - LLP Status</t>
  </si>
  <si>
    <t>Shop Visit 2 - LLP Status</t>
  </si>
  <si>
    <t>Shop Visit 3 - LLP Status</t>
  </si>
  <si>
    <t>Shop Visit 4 - LLP Status</t>
  </si>
  <si>
    <t>Shop Visit 5 - LLP Status</t>
  </si>
  <si>
    <t>Shop Visit 6 - LLP Status</t>
  </si>
  <si>
    <t>Shop Visit 7 - LLP Status</t>
  </si>
  <si>
    <t>Shop Visit 8 - LLP Status</t>
  </si>
  <si>
    <t>Shop Visit 9 - LLP Status</t>
  </si>
  <si>
    <t>Shop Visit 10 - LLP Status</t>
  </si>
  <si>
    <t>Family</t>
  </si>
  <si>
    <t>Ratio</t>
  </si>
  <si>
    <t>Item</t>
  </si>
  <si>
    <t>Mo FH</t>
  </si>
  <si>
    <t>Mo FC</t>
  </si>
  <si>
    <t>Maintenance Event Intervals</t>
  </si>
  <si>
    <t>Monthly</t>
  </si>
  <si>
    <t xml:space="preserve"> Equipment</t>
  </si>
  <si>
    <t>Hours</t>
  </si>
  <si>
    <t>Cycles</t>
  </si>
  <si>
    <t>Months</t>
  </si>
  <si>
    <t>Minimum</t>
  </si>
  <si>
    <t>Rate</t>
  </si>
  <si>
    <t>Landing Gear</t>
  </si>
  <si>
    <t>APU</t>
  </si>
  <si>
    <t>Shop Visit</t>
  </si>
  <si>
    <t>Airframe</t>
  </si>
  <si>
    <t>Consumed</t>
  </si>
  <si>
    <t>Restored</t>
  </si>
  <si>
    <t>Residual $</t>
  </si>
  <si>
    <t>Residual %</t>
  </si>
  <si>
    <t>LLP Stub</t>
  </si>
  <si>
    <t>Int</t>
  </si>
  <si>
    <t>Mx Value</t>
  </si>
  <si>
    <t>FR - Fallout Int</t>
  </si>
  <si>
    <t>MR - Fallout Int</t>
  </si>
  <si>
    <t>LLP REMOVAL FORECAST</t>
  </si>
  <si>
    <t>LLPs</t>
  </si>
  <si>
    <t>Modules</t>
  </si>
  <si>
    <t>Maintenance Restoration Schedule</t>
  </si>
  <si>
    <t>MAINTENANCE FORECAST</t>
  </si>
  <si>
    <t>Gear</t>
  </si>
  <si>
    <t>Restored $</t>
  </si>
  <si>
    <t>UEsFBgAAAAAAAAAAAAAAAAAAAAAAAA%3d%3d</t>
  </si>
  <si>
    <t>Consumption $</t>
  </si>
  <si>
    <t>Mx Valuation $</t>
  </si>
  <si>
    <t>Term</t>
  </si>
  <si>
    <t>FL</t>
  </si>
  <si>
    <t xml:space="preserve"> VALUE LISTS</t>
  </si>
  <si>
    <t xml:space="preserve"> %3c%3fxml+version%3d%221.0%22+encoding%3d%22utf-16%22%3f%3e%0d%0a%3cWizardSettings+xmlns%3axsi%3d%22http%3a%2f%2fwww.w3.org%2f2001%2fXMLSchema-instance%22+xmlns%3axsd%3d%22http%3a%2f%2fwww.w3.org%2f2001%2fXMLSchema%22%3e%0d%0a++%3cCss%3e%0a.Class1%7bfont-family%3a+Arial%3b+font-size%3a8pt%3b+color%3aWhite%3bfont-weight%3a+bold%3btext-decoration%3anone%3bborder-top-style%3a+Solid+%3bborder-left-style%3a+Solid+%3bborder-bottom-style%3a+Solid+%3bborder-width%3a+1px+%3bborder-top-color%3a+White+%3bborder-left-color%3a+White+%3bborder-right-color%3a+Black+%3bborder-bottom-color%3a+White+%3bbackground-color%3a%234A7EBB%3b+text-align%3aleft%3bvertical-align%3abottom%3b%7d%0a.Class2%7bfont-family%3a+Arial%3b+font-size%3a8pt%3b+color%3aWhite%3bfont-weight%3a+bold%3btext-decoration%3anone%3bborder-top-style%3a+Solid+%3bborder-bottom-style%3a+Solid+%3bborder-width%3a+1px+%3bborder-top-color%3a+White+%3bborder-left-color%3a+Black+%3bborder-right-color%3a+Black+%3bborder-bottom-color%3a+White+%3bbackground-color%3a%234A7EBB%3b+text-align%3aleft%3bvertical-align%3abottom%3b%7d%0a.Class3%7bfont-family%3a+Arial%3b+font-size%3a8pt%3b+color%3aWhite%3btext-decoration%3anone%3bborder-top-style%3a+Solid+%3bborder-bottom-style%3a+Solid+%3bborder-width%3a+1px+%3bborder-top-color%3a+White+%3bborder-left-color%3a+Black+%3bborder-right-color%3a+Black+%3bborder-bottom-color%3a+White+%3bbackground-color%3a%234A7EBB%3b+text-align%3acenter%3bvertical-align%3abottom%3b%7d%0a.Class4%7bfont-family%3a+Arial%3b+font-size%3a8pt%3b+color%3aBlack%3btext-decoration%3anone%3bborder-top-style%3a+Solid+%3bborder-width%3a+1px+%3bborder-top-color%3a+White+%3bborder-left-color%3a+Black+%3bborder-right-color%3a+Black+%3bborder-bottom-color%3a+Black+%3bbackground-color%3aWhite%3b+text-align%3aleft%3bvertical-align%3abottom%3b%7d%0a.Class5%7bfont-family%3a+Arial%3b+font-size%3a8pt%3b+color%3aNavy%3bfont-weight%3a+bold%3btext-decoration%3anone%3bborder%3a+1px++None++Black+%3bbackground-color%3aWhite%3b+text-align%3aleft%3bvertical-align%3abottom%3b%7d%0a.Class6%7bfont-family%3a+Arial%3b+font-size%3a8pt%3b+color%3aBlack%3btext-decoration%3anone%3bborder%3a+1px++None++Black+%3bbackground-color%3aWhite%3b+text-align%3aleft%3bvertical-align%3abottom%3b%7d%0a.Class7%7bfont-family%3a+Arial%3b+font-size%3a8pt%3b+color%3a%23333333%3btext-decoration%3anone%3bborder-bottom-style%3a+Solid+%3bborder-top-width%3a+1px+%3bborder-left-width%3a+1px+%3bborder-right-width%3a+1px+%3bborder-bottom-width%3a+.2pt+%3bborder-top-color%3a+Black+%3bborder-left-color%3a+Black+%3bborder-right-color%3a+Black+%3bborder-bottom-color%3a+%234F81BD+%3bbackground-color%3aWhite%3b+text-align%3aleft%3bvertical-align%3abottom%3b%7d%0a.Class8%7bfont-family%3a+Arial%3b+font-size%3a8pt%3b+color%3a%23333333%3btext-decoration%3anone%3bborder-bottom-style%3a+Solid+%3bborder-top-width%3a+1px+%3bborder-left-width%3a+1px+%3bborder-right-width%3a+1px+%3bborder-bottom-width%3a+.2pt+%3bborder-top-color%3a+Black+%3bborder-left-color%3a+Black+%3bborder-right-color%3a+Black+%3bborder-bottom-color%3a+%231F497D+%3bbackground-color%3aWhite%3b+text-align%3aleft%3bvertical-align%3abottom%3b%7d%0a.Class9%7bfont-family%3a+Arial%3b+font-size%3a8pt%3b+color%3a%23333333%3btext-decoration%3anone%3bborder%3a+1px++None++Black+%3bbackground-color%3aWhite%3b+text-align%3aleft%3bvertical-align%3abottom%3b%7d%0a.Class10%7bfont-family%3a+Arial%3b+font-size%3a8pt%3b+color%3aBlack%3btext-decoration%3anone%3bborder-bottom-style%3a+Solid+%3bborder-top-width%3a+1px+%3bborder-left-width%3a+1px+%3bborder-right-width%3a+1px+%3bborder-bottom-width%3a+.2pt+%3bborder-top-color%3a+Black+%3bborder-left-color%3a+Black+%3bborder-right-color%3a+Black+%3bborder-bottom-color%3a+%231F497D+%3bbackground-color%3aWhite%3b+text-align%3aleft%3bvertical-align%3abottom%3b%7d%0a.Class11%7bfont-family%3a+Arial%3b+font-size%3a8pt%3b+color%3aBlack%3btext-decoration%3anone%3bborder-bottom-style%3a+Solid+%3bborder-top-width%3a+1px+%3bborder-left-width%3a+1px+%3bborder-right-width%3a+1px+%3bborder-bottom-width%3a+.2pt+%3bborder-color%3a+Black+%3bbackground-color%3aWhite%3b+text-align%3aleft%3bvertical-align%3abottom%3b%7d%0a.Class12%7bfont-family%3a+Arial%3b+font-size%3a8pt%3b+color%3a%23404040%3btext-decoration%3anone%3bborder%3a+.2pt++Solid++%234F81BD+%3bbackground-color%3a%23FDFB9F%3b+text-align%3aleft%3bvertical-align%3abottom%3b%7d%0a.Class13%7bfont-family%3a+Arial%3b+font-size%3a8pt%3b+color%3aBlack%3btext-decoration%3anone%3bborder-left-style%3a+Solid+%3bborder-right-style%3a+Solid+%3bborder-top-width%3a+1px+%3bborder-left-width%3a+.2pt+%3bborder-right-width%3a+.2pt+%3bborder-bottom-width%3a+1px+%3bborder-top-color%3a+Black+%3bborder-left-color%3a+%234F81BD+%3bborder-right-color%3a+%231F497D+%3bborder-bottom-color%3a+Black+%3bbackground-color%3aWhite%3b+text-align%3aleft%3bvertical-align%3abottom%3b%7d%0a.Class14%7bfont-family%3a+Arial%3b+font-size%3a8pt%3b+color%3a%23404040%3btext-decoration%3anone%3bborder%3a+.2pt++Solid++%231F497D+%3bbackground-color%3a%23FDFB9F%3b+text-align%3aleft%3bvertical-align%3abottom%3b%7d%0a.Class15%7bfont-family%3a+Arial%3b+font-size%3a8pt%3b+color%3a%23404040%3btext-decoration%3anone%3bborder-left-style%3a+Solid+%3bborder-top-width%3a+1px+%3bborder-left-width%3a+.2pt+%3bborder-right-width%3a+1px+%3bborder-bottom-width%3a+1px+%3bborder-top-color%3a+Black+%3bborder-left-color%3a+%231F497D+%3bborder-right-color%3a+Black+%3bborder-bottom-color%3a+Black+%3bbackground-color%3aWhite%3b+text-align%3aleft%3bvertical-align%3abottom%3b%7d%0a.Class16%7bfont-family%3a+Arial%3b+font-size%3a8pt%3b+color%3aBlack%3btext-decoration%3anone%3bborder-right-style%3a+Solid+%3bborder-top-width%3a+1px+%3bborder-left-width%3a+1px+%3bborder-right-width%3a+.2pt+%3bborder-bottom-width%3a+1px+%3bborder-top-color%3a+Black+%3bborder-left-color%3a+Black+%3bborder-right-color%3a+%231F497D+%3bborder-bottom-color%3a+Black+%3bbackground-color%3aWhite%3b+text-align%3aleft%3bvertical-align%3abottom%3b%7d%0a.Class17%7bfont-family%3a+Arial%3b+font-size%3a8pt%3b+color%3aBlack%3btext-decoration%3anone%3bborder-left-style%3a+Solid+%3bborder-right-style%3a+Solid+%3bborder-top-width%3a+1px+%3bborder-left-width%3a+.2pt+%3bborder-right-width%3a+.2pt+%3bborder-bottom-width%3a+1px+%3bborder-top-color%3a+Black+%3bborder-left-color%3a+%231F497D+%3bborder-right-color%3a+%231F497D+%3bborder-bottom-color%3a+Black+%3bbackground-color%3aWhite%3b+text-align%3aleft%3bvertical-align%3abottom%3b%7d%0a.Class18%7bfont-family%3a+Arial%3b+font-size%3a8pt%3b+color%3a%23404040%3btext-decoration%3anone%3bborder-left-style%3a+Solid+%3bborder-right-style%3a+Solid+%3bborder-top-width%3a+1px+%3bborder-left-width%3a+.2pt+%3bborder-right-width%3a+.2pt+%3bborder-bottom-width%3a+1px+%3bborder-top-color%3a+Black+%3bborder-left-color%3a+%231F497D+%3bborder-right-color%3a+%231F497D+%3bborder-bottom-color%3a+Black+%3bbackground-color%3aWhite%3b+text-align%3aleft%3bvertical-align%3abottom%3b%7d%0a.Class19%7bfont-family%3a+Arial%3b+font-size%3a8pt%3b+color%3a%23404040%3btext-decoration%3anone%3bborder-left-style%3a+Solid+%3bborder-right-style%3a+Solid+%3bborder-top-width%3a+1px+%3bborder-left-width%3a+.2pt+%3bborder-right-width%3a+.2pt+%3bborder-bottom-width%3a+1px+%3bborder-top-color%3a+Black+%3bborder-left-color%3a+%231F497D+%3bborder-right-color%3a+Black+%3bborder-bottom-color%3a+Black+%3bbackground-color%3aWhite%3b+text-align%3aleft%3bvertical-align%3abottom%3b%7d%0a.Class20%7bfont-family%3a+Arial%3b+font-size%3a8pt%3b+color%3a%23404040%3btext-decoration%3anone%3bborder%3a+.2pt++Solid++Black+%3bbackground-color%3a%23FDFB9F%3b+text-align%3aleft%3bvertical-align%3abottom%3b%7d%0a.Class21%7bfont-family%3a+Calibri%3b+font-size%3a8pt%3b+color%3aBlue%3btext-decoration%3anone%3bborder-top-style%3a+Solid+%3bborder-bottom-style%3a+Solid+%3bborder-top-width%3a+.2pt+%3bborder-left-width%3a+1px+%3bborder-right-width%3a+1px+%3bborder-bottom-width%3a+1px+%3bborder-top-color%3a+%234F81BD+%3bborder-left-color%3a+Black+%3bborder-right-color%3a+Black+%3bborder-bottom-color%3a+%234F81BD+%3bbackground-color%3aWhite%3b+text-align%3aleft%3bvertical-align%3abottom%3b%7d%0a.Class22%7bfont-family%3a+Calibri%3b+font-size%3a8pt%3b+color%3aBlue%3btext-decoration%3anone%3bborder-bottom-style%3a+Solid+%3bborder-width%3a+1px+%3bborder-top-color%3a+Black+%3bborder-left-color%3a+Black+%3bborder-right-color%3a+Black+%3bborder-bottom-color%3a+%234F81BD+%3bbackground-color%3aWhite%3b+text-align%3aleft%3bvertical-align%3abottom%3b%7d%0a.Class23%7bfont-family%3a+Calibri%3b+font-size%3a8pt%3b+color%3aBlue%3btext-decoration%3anone%3bborder-top-style%3a+Solid+%3bborder-bottom-style%3a+Solid+%3bborder-top-width%3a+.2pt+%3bborder-left-width%3a+1px+%3bborder-right-width%3a+1px+%3bborder-bottom-width%3a+1px+%3bborder-top-color%3a+%231F497D+%3bborder-left-color%3a+Black+%3bborder-right-color%3a+Black+%3bborder-bottom-color%3a+%234F81BD+%3bbackground-color%3aWhite%3b+text-align%3aleft%3bvertical-align%3abottom%3b%7d%0a.Class24%7bfont-family%3a+Calibri%3b+font-size%3a8pt%3b+color%3aBlue%3btext-decoration%3anone%3bborder-top-style%3a+Solid+%3bborder-bottom-style%3a+Solid+%3bborder-top-width%3a+.2pt+%3bborder-left-width%3a+1px+%3bborder-right-width%3a+1px+%3bborder-bottom-width%3a+1px+%3bborder-top-color%3a+Black+%3bborder-left-color%3a+Black+%3bborder-right-color%3a+Black+%3bborder-bottom-color%3a+%234F81BD+%3bbackground-color%3aWhite%3b+text-align%3aleft%3bvertical-align%3abottom%3b%7d%0a.Class25%7bfont-family%3a+Arial%3b+font-size%3a8pt%3b+color%3aWhite%3bfont-weight%3a+bold%3btext-decoration%3anone%3bborder-top-style%3a+Solid+%3bborder-left-style%3a+Solid+%3bborder-width%3a+1px+%3bborder-top-color%3a+%234F81BD+%3bborder-left-color%3a+%234F81BD+%3bborder-right-color%3a+Black+%3bborder-bottom-color%3a+Black+%3bbackground-color%3a%234A7EBB%3b+text-align%3aleft%3bvertical-align%3abottom%3b%7d%0a.Class26%7bfont-family%3a+Arial%3b+font-size%3a8pt%3b+color%3aWhite%3btext-decoration%3anone%3bborder-top-style%3a+Solid+%3bborder-width%3a+1px+%3bborder-top-color%3a+%234F81BD+%3bborder-left-color%3a+Black+%3bborder-right-color%3a+Black+%3bborder-bottom-color%3a+Black+%3bbackground-color%3a%234A7EBB%3b+text-align%3aleft%3bvertical-align%3abottom%3b%7d%0a.Class27%7bfont-family%3a+Arial%3b+font-size%3a8pt%3b+color%3aWhite%3btext-decoration%3anone%3bborder-top-style%3a+Solid+%3bborder-right-style%3a+Solid+%3bborder-width%3a+1px+%3bborder-top-color%3a+%234F81BD+%3bborder-left-color%3a+Black+%3bborder-right-color%3a+%234F81BD+%3bborder-bottom-color%3a+Black+%3bbackground-color%3a%234A7EBB%3b+text-align%3aleft%3bvertical-align%3abottom%3b%7d%0a.Class28%7bfont-family%3a+Arial%3b+font-size%3a8pt%3b+color%3aNavy%3bfont-weight%3a+bold%3btext-decoration%3anone%3bborder-left-style%3a+Solid+%3bborder-width%3a+1px+%3bborder-top-color%3a+Black+%3bborder-left-color%3a+%234F81BD+%3bborder-right-color%3a+Black+%3bborder-bottom-color%3a+Black+%3bbackground-color%3a%23DBE5F1%3b+text-align%3aleft%3bvertical-align%3abottom%3b%7d%0a.Class29%7bfont-family%3a+Arial%3b+font-size%3a8pt%3b+color%3aBlack%3btext-decoration%3anone%3bborder-bottom-style%3a+Solid+%3bborder-width%3a+1px+%3bborder-top-color%3a+Black+%3bborder-left-color%3a+Black+%3bborder-right-color%3a+Black+%3bborder-bottom-color%3a+%234A7EBB+%3bbackground-color%3a%23DBE5F1%3b+text-align%3aleft%3bvertical-align%3abottom%3b%7d%0a.Class30%7bfont-family%3a+Arial%3b+font-size%3a8pt%3b+color%3aBlack%3btext-decoration%3anone%3bborder-right-style%3a+Solid+%3bborder-width%3a+1px+%3bborder-top-color%3a+Black+%3bborder-left-color%3a+Black+%3bborder-right-color%3a+%234F81BD+%3bborder-bottom-color%3a+Black+%3bbackground-color%3a%23DBE5F1%3b+text-align%3aleft%3bvertical-align%3abottom%3b%7d%0a.Class31%7bfont-family%3a+Arial%3b+font-size%3a8pt%3b+color%3aBlack%3btext-decoration%3anone%3bborder-left-style%3a+Solid+%3bborder-width%3a+1px+%3bborder-top-color%3a+Black+%3bborder-left-color%3a+%234F81BD+%3bborder-right-color%3a+Black+%3bborder-bottom-color%3a+Black+%3bbackground-color%3a%23DBE5F1%3b+text-align%3aleft%3bvertical-align%3abottom%3b%7d%0a.Class32%7bfont-family%3a+Arial%3b+font-size%3a8pt%3b+color%3aNavy%3bfont-weight%3a+bold%3btext-decoration%3anone%3bborder-left-style%3a+Solid+%3bborder-right-style%3a+Solid+%3bborder-width%3a+1px+%3bborder-top-color%3a+Black+%3bborder-left-color%3a+%234F81BD+%3bborder-right-color%3a+%234A7EBB+%3bborder-bottom-color%3a+Black+%3bbackground-color%3a%23DBE5F1%3b+text-align%3aleft%3bvertical-align%3abottom%3b%7d%0a.Class33%7bfont-family%3a+Calibri%3b+font-size%3a8pt%3b+color%3aBlack%3btext-decoration%3anone%3bborder-top-style%3a+Solid+%3bborder-left-style%3a+Solid+%3bborder-width%3a+1px+%3bborder-top-color%3a+%234A7EBB+%3bborder-left-color%3a+%234A7EBB+%3bborder-right-color%3a+Black+%3bborder-bottom-color%3a+Black+%3bbackground-color%3aWhite%3b+text-align%3aleft%3bvertical-align%3abottom%3b%7d%0a.Class34%7bfont-family%3a+Calibri%3b+font-size%3a8pt%3b+color%3aBlack%3btext-decoration%3anone%3bborder-top-style%3a+Solid+%3bborder-width%3a+1px+%3bborder-top-color%3a+%234A7EBB+%3bborder-left-color%3a+Black+%3bborder-right-color%3a+Black+%3bborder-bottom-color%3a+Black+%3bbackground-color%3aWhite%3b+text-align%3aleft%3bvertical-align%3abottom%3b%7d%0a.Class35%7bfont-family%3a+Calibri%3b+font-size%3a8pt%3b+color%3aBlack%3btext-decoration%3anone%3bborder-top-style%3a+Solid+%3bborder-right-style%3a+Solid+%3bborder-width%3a+1px+%3bborder-top-color%3a+%234A7EBB+%3bborder-left-color%3a+Black+%3bborder-right-color%3a+%234A7EBB+%3bborder-bottom-color%3a+Black+%3bbackground-color%3aWhite%3b+text-align%3aleft%3bvertical-align%3abottom%3b%7d%0a.Class36%7bfont-family%3a+Calibri%3b+font-size%3a8pt%3b+color%3aBlack%3bfont-weight%3a+bold%3btext-decoration%3anone%3bborder-top-style%3a+Solid+%3bborder-left-style%3a+Solid+%3bborder-bottom-style%3a+Solid+%3bborder-width%3a+1px+%3bborder-top-color%3a+%234A7EBB+%3bborder-left-color%3a+%234A7EBB+%3bborder-right-color%3a+Black+%3bborder-bottom-color%3a+%234A7EBB+%3bbackground-color%3aWhite%3b+text-align%3acenter%3bvertical-align%3abottom%3b%7d%0a.Class37%7bfont-family%3a+Calibri%3b+font-size%3a8pt%3b+color%3aBlack%3btext-decoration%3anone%3bborder-top-style%3a+Solid+%3bborder-left-style%3a+Solid+%3bborder-right-style%3a+Solid+%3bborder-width%3a+1px+%3bborder-top-color%3a+%234A7EBB+%3bborder-left-color%3a+%234A7EBB+%3bborder-right-color%3a+%234A7EBB+%3bborder-bottom-color%3a+Black+%3bbackground-color%3aWhite%3b+text-align%3aleft%3bvertical-align%3abottom%3b%7d%0a.Class38%7bfont-family%3a+Arial%3b+font-size%3a8pt%3b+color%3aBlack%3btext-decoration%3anone%3bborder-left-style%3a+Solid+%3bborder-right-style%3a+Solid+%3bborder-width%3a+1px+%3bborder-top-color%3a+Black+%3bborder-left-color%3a+%234A7EBB+%3bborder-right-color%3a+%234F81BD+%3bborder-bottom-color%3a+Black+%3bbackground-color%3a%23DBE5F1%3b+text-align%3aleft%3bvertical-align%3abottom%3b%7d%0a.Class39%7bfont-family%3a+Calibri%3b+font-size%3a8pt%3b+color%3aBlack%3btext-decoration%3anone%3bborder-left-style%3a+Solid+%3bborder-right-style%3a+Solid+%3bborder-width%3a+1px+%3bborder-top-color%3a+Black+%3bborder-left-color%3a+%234F81BD+%3bborder-right-color%3a+%234A7EBB+%3bborder-bottom-color%3a+Black+%3bbackground-color%3a%23DBE5F1%3b+text-align%3aleft%3bvertical-align%3abottom%3b%7d%0a.Class40%7bfont-family%3a+Arial%3b+font-size%3a8pt%3b+color%3aBlack%3btext-decoration%3anone%3bborder-left-style%3a+Solid+%3bborder-right-style%3a+Solid+%3bborder-width%3a+1px+%3bborder-top-color%3a+Black+%3bborder-left-color%3a+%234F81BD+%3bborder-right-color%3a+%234A7EBB+%3bborder-bottom-color%3a+Black+%3bbackground-color%3a%23DBE5F1%3b+text-align%3aleft%3bvertical-align%3abottom%3b%7d%0a.Class41%7bfont-family%3a+Calibri%3b+font-size%3a8pt%3b+color%3aBlack%3bfont-weight%3a+bold%3btext-decoration%3anone%3bborder-left-style%3a+Solid+%3bborder-bottom-style%3a+Solid+%3bborder-width%3a+1px+%3bborder-top-color%3a+Black+%3bborder-left-color%3a+%234A7EBB+%3bborder-right-color%3a+Black+%3bborder-bottom-color%3a+%234A7EBB+%3bbackground-color%3aWhite%3b+text-align%3aleft%3bvertical-align%3abottom%3b%7d%0a.Class42%7bfont-family%3a+Calibri%3b+font-size%3a8pt%3b+color%3aBlack%3btext-decoration%3anone%3bborder-bottom-style%3a+Solid+%3bborder-width%3a+1px+%3bborder-top-color%3a+Black+%3bborder-left-color%3a+Black+%3bborder-right-color%3a+Black+%3bborder-bottom-color%3a+%234A7EBB+%3bbackground-color%3aWhite%3b+text-align%3aleft%3bvertical-align%3abottom%3b%7d%0a.Class43%7bfont-family%3a+Calibri%3b+font-size%3a8pt%3b+color%3aBlack%3bfont-weight%3a+bold%3btext-decoration%3anone%3bborder-bottom-style%3a+Solid+%3bborder-width%3a+1px+%3bborder-top-color%3a+Black+%3bborder-left-color%3a+Black+%3bborder-right-color%3a+Black+%3bborder-bottom-color%3a+%234A7EBB+%3bbackground-color%3aWhite%3b+text-align%3acenter%3bvertical-align%3abottom%3b%7d%0a.Class44%7bfont-family%3a+Calibri%3b+font-size%3a8pt%3b+color%3aBlack%3bfont-weight%3a+bold%3btext-decoration%3anone%3bborder-bottom-style%3a+Solid+%3bborder-width%3a+1px+%3bborder-top-color%3a+Black+%3bborder-left-color%3a+Black+%3bborder-right-color%3a+Black+%3bborder-bottom-color%3a+%234A7EBB+%3bbackground-color%3aWhite%3b+text-align%3aright%3bvertical-align%3abottom%3b%7d%0a.Class45%7bfont-family%3a+Calibri%3b+font-size%3a8pt%3b+color%3aBlack%3btext-decoration%3anone%3bborder-bottom-style%3a+Solid+%3bborder-width%3a+1px+%3bborder-top-color%3a+Black+%3bborder-left-color%3a+Black+%3bborder-right-color%3a+Black+%3bborder-bottom-color%3a+%234A7EBB+%3bbackground-color%3aWhite%3b+text-align%3acenter%3bvertical-align%3abottom%3b%7d%0a.Class46%7bfont-family%3a+Calibri%3b+font-size%3a8pt%3b+color%3aBlack%3bfont-weight%3a+bold%3btext-decoration%3anone%3bborder-bottom-style%3a+Solid+%3bborder-width%3a+1px+%3bborder-top-color%3a+Black+%3bborder-left-color%3a+Black+%3bborder-right-color%3a+Black+%3bborder-bottom-color%3a+%234A7EBB+%3bbackground-color%3aWhite%3b+text-align%3aleft%3bvertical-align%3abottom%3b%7d%0a.Class47%7bfont-family%3a+Calibri%3b+font-size%3a8pt%3b+color%3aBlack%3btext-decoration%3anone%3bborder-right-style%3a+Solid+%3bborder-bottom-style%3a+Solid+%3bborder-width%3a+1px+%3bborder-top-color%3a+Black+%3bborder-left-color%3a+Black+%3bborder-right-color%3a+%234A7EBB+%3bborder-bottom-color%3a+%234A7EBB+%3bbackground-color%3aWhite%3b+text-align%3aleft%3bvertical-align%3abottom%3b%7d%0a.Class48%7bfont-family%3a+Calibri%3b+font-size%3a8pt%3b+color%3aBlack%3btext-decoration%3anone%3bborder-top-style%3a+Solid+%3bborder-bottom-style%3a+Solid+%3bborder-width%3a+1px+%3bborder-top-color%3a+%234A7EBB+%3bborder-left-color%3a+Black+%3bborder-right-color%3a+Black+%3bborder-bottom-color%3a+%234A7EBB+%3bbackground-color%3aWhite%3b+text-align%3aleft%3bvertical-align%3abottom%3b%7d%0a.Class49%7bfont-family%3a+Calibri%3b+font-size%3a8pt%3b+color%3aBlack%3bfont-weight%3a+bold%3btext-decoration%3anone%3bborder-top-style%3a+Solid+%3bborder-right-style%3a+Solid+%3bborder-bottom-style%3a+Solid+%3bborder-width%3a+1px+%3bborder-top-color%3a+%234A7EBB+%3bborder-left-color%3a+Black+%3bborder-right-color%3a+%234A7EBB+%3bborder-bottom-color%3a+%234A7EBB+%3bbackground-color%3aWhite%3b+text-align%3acenter%3bvertical-align%3abottom%3b%7d%0a.Class50%7bfont-family%3a+Calibri%3b+font-size%3a8pt%3b+color%3aBlack%3btext-decoration%3anone%3bborder-left-style%3a+Solid+%3bborder-right-style%3a+Solid+%3bborder-bottom-style%3a+Solid+%3bborder-width%3a+1px+%3bborder-top-color%3a+Black+%3bborder-left-color%3a+%234A7EBB+%3bborder-right-color%3a+%234A7EBB+%3bborder-bottom-color%3a+%234A7EBB+%3bbackground-color%3aWhite%3b+text-align%3aleft%3bvertical-align%3abottom%3b%7d%0a.Class51%7bfont-family%3a+Calibri%3b+font-size%3a8pt%3b+color%3aBlack%3btext-decoration%3anone%3bborder-left-style%3a+Solid+%3bborder-right-style%3a+Solid+%3bborder-width%3a+1px+%3bborder-top-color%3a+Black+%3bborder-left-color%3a+%234A7EBB+%3bborder-right-color%3a+%234F81BD+%3bborder-bottom-color%3a+Black+%3bbackground-color%3a%23DBE5F1%3b+text-align%3aleft%3bvertical-align%3abottom%3b%7d%0a.Class52%7bfont-family%3a+Calibri%3b+font-size%3a8pt%3b+color%3aBlack%3btext-decoration%3anone%3bborder-top-style%3a+Solid+%3bborder-right-style%3a+Solid+%3bborder-width%3a+1px+%3bborder-top-color%3a+%234A7EBB+%3bborder-left-color%3a+Black+%3bborder-right-color%3a+%234A7EBB+%3bborder-bottom-color%3a+Black+%3bbackground-color%3aWhite%3b+text-align%3acenter%3bvertical-align%3abottom%3b%7d%0a.Class53%7bfont-family%3a+Calibri%3b+font-size%3a8pt%3b+color%3aBlack%3btext-decoration%3anone%3bborder-top-style%3a+Solid+%3bborder-width%3a+1px+%3bborder-top-color%3a+%234A7EBB+%3bborder-left-color%3a+Black+%3bborder-right-color%3a+Black+%3bborder-bottom-color%3a+Black+%3bbackground-color%3aWhite%3b+text-align%3acenter%3bvertical-align%3abottom%3b%7d%0a.Class54%7bfont-family%3a+Calibri%3b+font-size%3a8pt%3b+color%3aBlack%3btext-decoration%3anone%3bborder-top-style%3a+Solid+%3bborder-width%3a+1px+%3bborder-top-color%3a+%234A7EBB+%3bborder-left-color%3a+Black+%3bborder-right-color%3a+Black+%3bborder-bottom-color%3a+Black+%3bbackground-color%3aWhite%3b+text-align%3aright%3bvertical-align%3abottom%3b%7d%0a.Class55%7bfont-family%3a+Calibri%3b+font-size%3a8pt%3b+color%3aBlack%3btext-decoration%3anone%3bborder-top-style%3a+Solid+%3bborder-left-style%3a+Solid+%3bborder-width%3a+1px+%3bborder-top-color%3a+%234A7EBB+%3bborder-left-color%3a+%234A7EBB+%3bborder-right-color%3a+Black+%3bborder-bottom-color%3a+Black+%3bbackground-color%3aWhite%3b+text-align%3acenter%3bvertical-align%3abottom%3b%7d%0a.Class56%7bfont-family%3a+Calibri%3b+font-size%3a8pt%3b+color%3aBlack%3btext-decoration%3anone%3bborder-left-style%3a+Solid+%3bborder-width%3a+1px+%3bborder-top-color%3a+Black+%3bborder-left-color%3a+%234A7EBB+%3bborder-right-color%3a+Black+%3bborder-bottom-color%3a+Black+%3bbackground-color%3aWhite%3b+text-align%3aleft%3bvertical-align%3abottom%3b%7d%0a.Class57%7bfont-family%3a+Calibri%3b+font-size%3a8pt%3b+color%3aBlack%3btext-decoration%3anone%3bborder%3a+1px++None++Black+%3bbackground-color%3aWhite%3b+text-align%3aleft%3bvertical-align%3abottom%3b%7d%0a.Class58%7bfont-family%3a+Calibri%3b+font-size%3a8pt%3b+color%3aBlack%3btext-decoration%3anone%3bborder-right-style%3a+Solid+%3bborder-width%3a+1px+%3bborder-top-color%3a+Black+%3bborder-left-color%3a+Black+%3bborder-right-color%3a+%234A7EBB+%3bborder-bottom-color%3a+Black+%3bbackground-color%3aWhite%3b+text-align%3acenter%3bvertical-align%3abottom%3b%7d%0a.Class59%7bfont-family%3a+Calibri%3b+font-size%3a8pt%3b+color%3aBlack%3btext-decoration%3anone%3bborder%3a+1px++None++Black+%3bbackground-color%3aWhite%3b+text-align%3acenter%3bvertical-align%3abottom%3b%7d%0a.Class60%7bfont-family%3a+Calibri%3b+font-size%3a8pt%3b+color%3aBlack%3btext-decoration%3anone%3bborder%3a+1px++None++Black+%3bbackground-color%3aWhite%3b+text-align%3aright%3bvertical-align%3abottom%3b%7d%0a.Class61%7bfont-family%3a+Calibri%3b+font-size%3a8pt%3b+color%3aBlack%3btext-decoration%3anone%3bborder-right-style%3a+Solid+%3bborder-width%3a+1px+%3bborder-top-color%3a+Black+%3bborder-left-color%3a+Black+%3bborder-right-color%3a+%234A7EBB+%3bborder-bottom-color%3a+Black+%3bbackground-color%3aWhite%3b+text-align%3aleft%3bvertical-align%3abottom%3b%7d%0a.Class62%7bfont-family%3a+Calibri%3b+font-size%3a8pt%3b+color%3aBlack%3btext-decoration%3anone%3bborder-left-style%3a+Solid+%3bborder-width%3a+1px+%3bborder-top-color%3a+Black+%3bborder-left-color%3a+%234A7EBB+%3bborder-right-color%3a+Black+%3bborder-bottom-color%3a+Black+%3bbackground-color%3aWhite%3b+text-align%3acenter%3bvertical-align%3abottom%3b%7d%0a.Class63%7bfont-family%3a+Calibri%3b+font-size%3a8pt%3b+color%3aBlack%3btext-decoration%3anone%3bborder-left-style%3a+Solid+%3bborder-right-style%3a+Solid+%3bborder-width%3a+1px+%3bborder-top-color%3a+Black+%3bborder-left-color%3a+%234A7EBB+%3bborder-right-color%3a+%234A7EBB+%3bborder-bottom-color%3a+Black+%3bbackground-color%3aWhite%3b+text-align%3aleft%3bvertical-align%3abottom%3b%7d%0a.Class64%7bfont-family%3a+Calibri%3b+font-size%3a8pt%3b+color%3aBlack%3btext-decoration%3anone%3bborder-left-style%3a+Solid+%3bborder-bottom-style%3a+Solid+%3bborder-width%3a+1px+%3bborder-top-color%3a+Black+%3bborder-left-color%3a+%234A7EBB+%3bborder-right-color%3a+Black+%3bborder-bottom-color%3a+%234A7EBB+%3bbackground-color%3aWhite%3b+text-align%3aleft%3bvertical-align%3abottom%3b%7d%0a.Class65%7bfont-family%3a+Calibri%3b+font-size%3a8pt%3b+color%3aBlack%3btext-decoration%3anone%3bborder-right-style%3a+Solid+%3bborder-bottom-style%3a+Solid+%3bborder-width%3a+1px+%3bborder-top-color%3a+Black+%3bborder-left-color%3a+Black+%3bborder-right-color%3a+%234A7EBB+%3bborder-bottom-color%3a+%234A7EBB+%3bbackground-color%3aWhite%3b+text-align%3acenter%3bvertical-align%3abottom%3b%7d%0a.Class66%7bfont-family%3a+Calibri%3b+font-size%3a8pt%3b+color%3aBlack%3btext-decoration%3anone%3bborder-bottom-style%3a+Solid+%3bborder-width%3a+1px+%3bborder-top-color%3a+Black+%3bborder-left-color%3a+Black+%3bborder-right-color%3a+Black+%3bborder-bottom-color%3a+%234A7EBB+%3bbackground-color%3aWhite%3b+text-align%3aright%3bvertical-align%3abottom%3b%7d%0a.Class67%7bfont-family%3a+Calibri%3b+font-size%3a8pt%3b+color%3aBlack%3btext-decoration%3anone%3bborder-left-style%3a+Solid+%3bborder-bottom-style%3a+Solid+%3bborder-width%3a+1px+%3bborder-top-color%3a+Black+%3bborder-left-color%3a+%234A7EBB+%3bborder-right-color%3a+Black+%3bborder-bottom-color%3a+%234A7EBB+%3bbackground-color%3aWhite%3b+text-align%3acenter%3bvertical-align%3abottom%3b%7d%0a.Class68%7bfont-family%3a+Calibri%3b+font-size%3a8pt%3b+color%3aBlack%3bfont-style%3a+italic%3btext-decoration%3anone%3bborder-top-style%3a+Solid+%3bborder-left-style%3a+Solid+%3bborder-width%3a+1px+%3bborder-top-color%3a+%234A7EBB+%3bborder-left-color%3a+%234A7EBB+%3bborder-right-color%3a+Black+%3bborder-bottom-color%3a+Black+%3bbackground-color%3aWhite%3b+text-align%3aleft%3bvertical-align%3abottom%3b%7d%0a.Class69%7bfont-family%3a+Calibri%3b+font-size%3a8pt%3b+color%3aBlack%3bfont-style%3a+italic%3btext-decoration%3anone%3bborder-top-style%3a+Solid+%3bborder-width%3a+1px+%3bborder-top-color%3a+%234A7EBB+%3bborder-left-color%3a+Black+%3bborder-right-color%3a+Black+%3bborder-bottom-color%3a+Black+%3bbackground-color%3aWhite%3b+text-align%3aleft%3bvertical-align%3abottom%3b%7d%0a.Class70%7bfont-family%3a+Calibri%3b+font-size%3a8pt%3b+color%3aBlack%3bfont-style%3a+italic%3btext-decoration%3anone%3bborder-top-style%3a+Solid+%3bborder-right-style%3a+Solid+%3bborder-width%3a+1px+%3bborder-top-color%3a+%234A7EBB+%3bborder-left-color%3a+Black+%3bborder-right-color%3a+%234A7EBB+%3bborder-bottom-color%3a+Black+%3bbackground-color%3aWhite%3b+text-align%3acenter%3bvertical-align%3abottom%3b%7d%0a.Class71%7bfont-family%3a+Calibri%3b+font-size%3a8pt%3b+color%3aBlack%3bfont-weight%3a+bold%3btext-decoration%3anone%3bborder-top-style%3a+Solid+%3bborder-left-style%3a+Solid+%3bborder-bottom-style%3a+Solid+%3bborder-width%3a+1px+%3bborder-top-color%3a+%234A7EBB+%3bborder-left-color%3a+%234A7EBB+%3bborder-right-color%3a+Black+%3bborder-bottom-color%3a+%234A7EBB+%3bbackground-color%3aWhite%3b+text-align%3aleft%3bvertical-align%3abottom%3b%7d%0a.Class72%7bfont-family%3a+Calibri%3b+font-size%3a8pt%3b+color%3aBlack%3btext-decoration%3anone%3bborder-top-style%3a+Solid+%3bborder-right-style%3a+Solid+%3bborder-bottom-style%3a+Solid+%3bborder-width%3a+1px+%3bborder-top-color%3a+%234A7EBB+%3bborder-left-color%3a+Black+%3bborder-right-color%3a+%234A7EBB+%3bborder-bottom-color%3a+%234A7EBB+%3bbackground-color%3aWhite%3b+text-align%3aleft%3bvertical-align%3abottom%3b%7d%0a.Class73%7bfont-family%3a+Calibri%3b+font-size%3a8pt%3b+color%3aBlack%3btext-decoration%3anone%3bborder%3a+1px++Solid++%234A7EBB+%3bbackground-color%3aWhite%3b+text-align%3aleft%3bvertical-align%3abottom%3b%7d%0a.Class74%7bfont-family%3a+Calibri%3b+font-size%3a8pt%3b+color%3aBlack%3bfont-style%3a+italic%3btext-decoration%3anone%3bborder-left-style%3a+Solid+%3bborder-bottom-style%3a+Solid+%3bborder-width%3a+1px+%3bborder-top-color%3a+Black+%3bborder-left-color%3a+%234A7EBB+%3bborder-right-color%3a+Black+%3bborder-bottom-color%3a+%234A7EBB+%3bbackground-color%3aWhite%3b+text-align%3aleft%3bvertical-align%3abottom%3b%7d%0a.Class75%7bfont-family%3a+Calibri%3b+font-size%3a8pt%3b+color%3aBlack%3bfont-style%3a+italic%3btext-decoration%3anone%3bborder-bottom-style%3a+Solid+%3bborder-width%3a+1px+%3bborder-top-color%3a+Black+%3bborder-left-color%3a+Black+%3bborder-right-color%3a+Black+%3bborder-bottom-color%3a+%234A7EBB+%3bbackground-color%3aWhite%3b+text-align%3aleft%3bvertical-align%3abottom%3b%7d%0a.Class76%7bfont-family%3a+Calibri%3b+font-size%3a8pt%3b+color%3aBlack%3bfont-style%3a+italic%3btext-decoration%3anone%3bborder-right-style%3a+Solid+%3bborder-bottom-style%3a+Solid+%3bborder-width%3a+1px+%3bborder-top-color%3a+Black+%3bborder-left-color%3a+Black+%3bborder-right-color%3a+%234A7EBB+%3bborder-bottom-color%3a+%234A7EBB+%3bbackground-color%3aWhite%3b+text-align%3acenter%3bvertical-align%3abottom%3b%7d%0a.Class77%7bfont-family%3a+Arial%3b+font-size%3a8pt%3b+color%3aBlack%3btext-decoration%3anone%3bborder-left-style%3a+Solid+%3bborder-bottom-style%3a+Solid+%3bborder-width%3a+1px+%3bborder-top-color%3a+Black+%3bborder-left-color%3a+%234F81BD+%3bborder-right-color%3a+Black+%3bborder-bottom-color%3a+%234F81BD+%3bbackground-color%3a%23DBE5F1%3b+text-align%3aleft%3bvertical-align%3abottom%3b%7d%0a.Class78%7bfont-family%3a+Arial%3b+font-size%3a8pt%3b+color%3aBlack%3btext-decoration%3anone%3bborder-top-style%3a+Solid+%3bborder-bottom-style%3a+Solid+%3bborder-width%3a+1px+%3bborder-top-color%3a+%234A7EBB+%3bborder-left-color%3a+Black+%3bborder-right-color%3a+Black+%3bborder-bottom-color%3a+%234F81BD+%3bbackground-color%3a%23DBE5F1%3b+text-align%3aleft%3bvertical-align%3abottom%3b%7d%0a.Class79%7bfont-family%3a+Arial%3b+font-size%3a8pt%3b+color%3aBlack%3btext-decoration%3anone%3bborder-right-style%3a+Solid+%3bborder-bottom-style%3a+Solid+%3bborder-width%3a+1px+%3bborder-top-color%3a+Black+%3bborder-left-color%3a+Black+%3bborder-right-color%3a+%234F81BD+%3bborder-bottom-color%3a+%234F81BD+%3bbackground-color%3a%23DBE5F1%3b+text-align%3aleft%3bvertical-align%3abottom%3b%7d%0a.Class80%7bfont-family%3a+Arial%3b+font-size%3a8pt%3b+color%3aBlack%3btext-decoration%3anone%3bborder-top-style%3a+Solid+%3bborder-width%3a+1px+%3bborder-top-color%3a+%234A7EBB+%3bborder-left-color%3a+Black+%3bborder-right-color%3a+Black+%3bborder-bottom-color%3a+Black+%3bbackground-color%3a%23DBE5F1%3b+text-align%3aleft%3bvertical-align%3abottom%3b%7d%0a.Class81%7bfont-family%3a+Arial%3b+font-size%3a8pt%3b+color%3aBlack%3btext-decoration%3anone%3bborder%3a+1px++None++Black+%3bbackground-color%3a%23DBE5F1%3b+text-align%3aleft%3bvertical-align%3abottom%3b%7d%0a.Class82%7bfont-family%3a+Arial%3b+font-size%3a8pt%3b+color%3aBlack%3btext-decoration%3anone%3bborder-bottom-style%3a+Solid+%3bborder-top-width%3a+1px+%3bborder-left-width%3a+1px+%3bborder-right-width%3a+1px+%3bborder-bottom-width%3a+.2pt+%3bborder-color%3a+Black+%3bbackground-color%3a%23DBE5F1%3b+text-align%3aleft%3bvertical-align%3abottom%3b%7d%0a.Class83%7bfont-family%3a+Calibri%3b+font-size%3a9pt%3b+color%3aBlack%3bfont-style%3a+italic%3btext-decoration%3anone%3bborder%3a+1px++None++Black+%3bbackground-color%3a%23DBE5F1%3b+text-align%3aleft%3bvertical-align%3abottom%3b%7d%0a.Class84%7bfont-family%3a+Arial%3b+font-size%3a8pt%3b+color%3aBlack%3btext-decoration%3anone%3bborder-right-style%3a+Solid+%3bborder-top-width%3a+1px+%3bborder-left-width%3a+1px+%3bborder-right-width%3a+.2pt+%3bborder-bottom-width%3a+1px+%3bborder-color%3a+Black+%3bbackground-color%3a%23DBE5F1%3b+text-align%3aleft%3bvertical-align%3abottom%3b%7d%0a.Class85%7bfont-family%3a+Arial%3b+font-size%3a8pt%3b+color%3aBlack%3btext-decoration%3anone%3bborder-left-style%3a+Solid+%3bborder-top-width%3a+1px+%3bborder-left-width%3a+.2pt+%3bborder-right-width%3a+1px+%3bborder-bottom-width%3a+1px+%3bborder-color%3a+Black+%3bbackground-color%3a%23DBE5F1%3b+text-align%3aleft%3bvertical-align%3abottom%3b%7d%0a.Class86%7bfont-family%3a+Calibri%3b+font-size%3a8pt%3b+color%3aBlack%3btext-decoration%3anone%3bborder%3a+1px++None++Black+%3bbackground-color%3a%23DBE5F1%3b+text-align%3aright%3bvertical-align%3abottom%3b%7d%0a.Class87%7bfont-family%3a+Arial%3b+font-size%3a8pt%3b+color%3aBlack%3bfont-weight%3a+bold%3btext-decoration%3anone%3bborder%3a+1px++None++Black+%3bbackground-color%3a%23DBE5F1%3b+text-align%3aleft%3bvertical-align%3abottom%3b%7d%0a.Class88%7bfont-family%3a+Calibri%3b+font-size%3a8pt%3b+color%3aBlack%3btext-decoration%3anone%3bborder%3a+1px++None++Black+%3bbackground-color%3a%23DBE5F1%3b+text-align%3acenter%3bvertical-align%3abottom%3b%7d%0a.Class89%7bfont-family%3a+Arial%3b+font-size%3a8pt%3b+color%3aBlack%3btext-decoration%3anone%3bborder-top</t>
  </si>
  <si>
    <t xml:space="preserve"> -style%3a+Solid+%3bborder-top-width%3a+.2pt+%3bborder-left-width%3a+1px+%3bborder-right-width%3a+1px+%3bborder-bottom-width%3a+1px+%3bborder-color%3a+Black+%3bbackground-color%3a%23DBE5F1%3b+text-align%3aleft%3bvertical-align%3abottom%3b%7d%0a.Class90%7bfont-family%3a+Arial%3b+font-size%3a8pt%3b+color%3aBlack%3btext-decoration%3anone%3bborder-bottom-style%3a+Solid+%3bborder-width%3a+1px+%3bborder-top-color%3a+Black+%3bborder-left-color%3a+Black+%3bborder-right-color%3a+Black+%3bborder-bottom-color%3a+%234F81BD+%3bbackground-color%3a%23DBE5F1%3b+text-align%3aleft%3bvertical-align%3abottom%3b%7d%0a.Class91%7bfont-family%3a+Calibri%3b+font-size%3a8pt%3b+color%3aNavy%3bfont-weight%3a+bold%3btext-decoration%3anone%3bborder-left-style%3a+Solid+%3bborder-right-style%3a+Solid+%3bborder-width%3a+1px+%3bborder-top-color%3a+Black+%3bborder-left-color%3a+%234F81BD+%3bborder-right-color%3a+%234A7EBB+%3bborder-bottom-color%3a+Black+%3bbackground-color%3a%23DBE5F1%3b+text-align%3aleft%3bvertical-align%3abottom%3b%7d%0a.Class92%7bfont-family%3a+Calibri%3b+font-size%3a8pt%3b+color%3aBlack%3btext-decoration%3anone%3bborder-left-style%3a+Solid+%3bborder-right-style%3a+Solid+%3bborder-width%3a+1px+%3bborder-top-color%3a+Black+%3bborder-left-color%3a+%234F81BD+%3bborder-right-color%3a+%234A7EBB+%3bborder-bottom-color%3a+Black+%3bbackground-color%3a%23DBE5F1%3b+text-align%3aright%3bvertical-align%3abottom%3b%7d%0a.Class93%7bfont-family%3a+Calibri%3b+font-size%3a8pt%3b+color%3aBlack%3btext-decoration%3anone%3bborder-left-style%3a+Solid+%3bborder-width%3a+1px+%3bborder-top-color%3a+Black+%3bborder-left-color%3a+%234F81BD+%3bborder-right-color%3a+Black+%3bborder-bottom-color%3a+Black+%3bbackground-color%3a%23DBE5F1%3b+text-align%3aright%3bvertical-align%3abottom%3b%7d%0a.Class94%7bfont-family%3a+Calibri%3b+font-size%3a9pt%3b+color%3aBlack%3bfont-weight%3a+bold%3btext-decoration%3anone%3bborder-top-style%3a+Solid+%3bborder-width%3a+1px+%3bborder-top-color%3a+%234A7EBB+%3bborder-left-color%3a+Black+%3bborder-right-color%3a+Black+%3bborder-bottom-color%3a+Black+%3bbackground-color%3a%23DBE5F1%3b+text-align%3aleft%3bvertical-align%3abottom%3b%7d%0a.Class95%7bfont-family%3a+Calibri%3b+font-size%3a8pt%3b+color%3aBlack%3btext-decoration%3anone%3bborder-top-style%3a+Solid+%3bborder-width%3a+1px+%3bborder-top-color%3a+%234A7EBB+%3bborder-left-color%3a+Black+%3bborder-right-color%3a+Black+%3bborder-bottom-color%3a+Black+%3bbackground-color%3a%23DBE5F1%3b+text-align%3aleft%3bvertical-align%3abottom%3b%7d%0a.Class96%7bfont-family%3a+Calibri%3b+font-size%3a8pt%3b+color%3aBlack%3btext-decoration%3anone%3bborder-right-style%3a+Solid+%3bborder-width%3a+1px+%3bborder-top-color%3a+Black+%3bborder-left-color%3a+Black+%3bborder-right-color%3a+%234F81BD+%3bborder-bottom-color%3a+Black+%3bbackground-color%3a%23DBE5F1%3b+text-align%3aleft%3bvertical-align%3abottom%3b%7d%0a.Class97%7bfont-family%3a+Calibri%3b+font-size%3a9pt%3b+color%3aBlack%3bfont-weight%3a+bold%3btext-decoration%3anone%3bborder-bottom-style%3a+Solid+%3bborder-width%3a+1px+%3bborder-top-color%3a+Black+%3bborder-left-color%3a+Black+%3bborder-right-color%3a+Black+%3bborder-bottom-color%3a+%234A7EBB+%3bbackground-color%3a%23DBE5F1%3b+text-align%3aleft%3bvertical-align%3abottom%3b%7d%0a.Class98%7bfont-family%3a+Calibri%3b+font-size%3a8pt%3b+color%3aBlack%3btext-decoration%3anone%3bborder-bottom-style%3a+Solid+%3bborder-width%3a+1px+%3bborder-top-color%3a+Black+%3bborder-left-color%3a+Black+%3bborder-right-color%3a+Black+%3bborder-bottom-color%3a+%234A7EBB+%3bbackground-color%3a%23DBE5F1%3b+text-align%3aleft%3bvertical-align%3abottom%3b%7d%0a.Class99%7bfont-family%3a+Calibri%3b+font-size%3a9pt%3b+color%3aBlack%3bfont-weight%3a+bold%3btext-decoration%3anone%3bborder-left-style%3a+Solid+%3bborder-right-style%3a+Solid+%3bborder-width%3a+1px+%3bborder-top-color%3a+Black+%3bborder-left-color%3a+%234F81BD+%3bborder-right-color%3a+%234A7EBB+%3bborder-bottom-color%3a+Black+%3bbackground-color%3a%23DBE5F1%3b+text-align%3aright%3bvertical-align%3abottom%3b%7d%0a.Class100%7bfont-family%3a+Calibri%3b+font-size%3a8pt%3b+color%3aBlack%3btext-decoration%3anone%3bborder-left-style%3a+Solid+%3bborder-right-style%3a+Solid+%3bborder-width%3a+1px+%3bborder-top-color%3a+Black+%3bborder-left-color%3a+%234A7EBB+%3bborder-right-color%3a+%234F81BD+%3bborder-bottom-color%3a+Black+%3bbackground-color%3a%23DBE5F1%3b+text-align%3acenter%3bvertical-align%3abottom%3b%7d%0a.Class101%7bfont-family%3a+Arial%3b+font-size%3a8pt%3b+color%3aBlack%3btext-decoration%3anone%3bborder-bottom-style%3a+Solid+%3bborder-width%3a+1px+%3bborder-top-color%3a+Black+%3bborder-left-color%3a+Black+%3bborder-right-color%3a+Black+%3bborder-bottom-color%3a+%234A7EBB+%3bbackground-color%3aWhite%3b+text-align%3aleft%3bvertical-align%3abottom%3b%7d%0a.Class102%7bfont-family%3a+Calibri%3b+font-size%3a9pt%3b+color%3aBlack%3bfont-weight%3a+bold%3btext-decoration%3anone%3bborder-left-style%3a+Solid+%3bborder-width%3a+1px+%3bborder-top-color%3a+Black+%3bborder-left-color%3a+%234F81BD+%3bborder-right-color%3a+Black+%3bborder-bottom-color%3a+Black+%3bbackground-color%3a%23DBE5F1%3b+text-align%3aright%3bvertical-align%3abottom%3b%7d%0a.Class103%7bfont-family%3a+Calibri%3b+font-size%3a8pt%3b+color%3aBlack%3btext-decoration%3anone%3bborder-right-style%3a+Solid+%3bborder-width%3a+1px+%3bborder-top-color%3a+Black+%3bborder-left-color%3a+Black+%3bborder-right-color%3a+%234F81BD+%3bborder-bottom-color%3a+Black+%3bbackground-color%3a%23DBE5F1%3b+text-align%3acenter%3bvertical-align%3abottom%3b%7d%0a.Class104%7bfont-family%3a+Calibri%3b+font-size%3a9pt%3b+color%3aBlack%3bfont-weight%3a+bold%3btext-decoration%3anone%3bborder%3a+1px++None++Black+%3bbackground-color%3a%23DBE5F1%3b+text-align%3aleft%3bvertical-align%3abottom%3b%7d%0a.Class105%7bfont-family%3a+Calibri%3b+font-size%3a9pt%3b+color%3aBlack%3bfont-weight%3a+bold%3btext-decoration%3anone%3bborder-left-style%3a+Solid+%3bborder-bottom-style%3a+Solid+%3bborder-width%3a+1px+%3bborder-top-color%3a+Black+%3bborder-left-color%3a+%234F81BD+%3bborder-right-color%3a+Black+%3bborder-bottom-color%3a+%234F81BD+%3bbackground-color%3a%23DBE5F1%3b+text-align%3aright%3bvertical-align%3abottom%3b%7d%0a.Class106%7bfont-family%3a+Calibri%3b+font-size%3a8pt%3b+color%3aBlack%3btext-decoration%3anone%3bborder-bottom-style%3a+Solid+%3bborder-width%3a+1px+%3bborder-top-color%3a+Black+%3bborder-left-color%3a+Black+%3bborder-right-color%3a+Black+%3bborder-bottom-color%3a+%234F81BD+%3bbackground-color%3a%23DBE5F1%3b+text-align%3aleft%3bvertical-align%3abottom%3b%7d%0a.Class107%7bfont-family%3a+Calibri%3b+font-size%3a8pt%3b+color%3aBlack%3btext-decoration%3anone%3bborder-right-style%3a+Solid+%3bborder-bottom-style%3a+Solid+%3bborder-width%3a+1px+%3bborder-top-color%3a+Black+%3bborder-left-color%3a+Black+%3bborder-right-color%3a+%234F81BD+%3bborder-bottom-color%3a+%234F81BD+%3bbackground-color%3a%23DBE5F1%3b+text-align%3acenter%3bvertical-align%3abottom%3b%7d%3c%2fCss%3e%0d%0a++%3cCulture%3een-US%3c%2fCulture%3e%0d%0a++%3cMergedSavingCells+%2f%3e%0d%0a++%3cPageInputCells%3e%0d%0a++++%3cInputCellsCollection%3e%0d%0a++++++%3cInputCells%3e%0d%0a++++++++%3cCellCount%3e7%3c%2fCellCount%3e%0d%0a++++++++%3cCells%3e%0d%0a++++++++++%3cInputCell%3e%0d%0a++++++++++++%3cAddress%3e%3d'Mx+FORECAST'!%24B%246%3c%2fAddress%3e%0d%0a++++++++++++%3cListItemsAddress%3e%3d'Mx+FORECAST'!%24AK%2412%3a%24AK%2415%3c%2fListItemsAddress%3e%0d%0a++++++++++++%3cType%3e4%3c%2fType%3e%0d%0a++++++++++++%3cNameIndex%3e0%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A320-200%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D%246%3c%2fAddress%3e%0d%0a++++++++++++%3cListItemsAddress%3e%3d'Mx+FORECAST'!%24AL%2412%3a%24AL%2421%3c%2fListItemsAddress%3e%0d%0a++++++++++++%3cType%3e4%3c%2fType%3e%0d%0a++++++++++++%3cNameIndex%3e1%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CFM56-5B4%2fP%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L%246%3c%2fAddress%3e%0d%0a++++++++++++%3cListItemsAddress%3e%3d'Mx+FORECAST'!%24AZ%2412%3a%24AZ%2452%3c%2fListItemsAddress%3e%0d%0a++++++++++++%3cType%3e4%3c%2fType%3e%0d%0a++++++++++++%3cNameIndex%3e2%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2.0%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N%246%3c%2fAddress%3e%0d%0a++++++++++++%3cListItemsAddress%3e%3d'Mx+FORECAST'!%24AW%2412%3a%24AW%2437%3c%2fListItemsAddress%3e%0d%0a++++++++++++%3cType%3e4%3c%2fType%3e%0d%0a++++++++++++%3cNameIndex%3e3%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10%25%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P%246%3c%2fAddress%3e%0d%0a++++++++++++%3cListItemsAddress%3e%3d'Mx+FORECAST'!%24AU%2412%3a%24AU%2414%3c%2fListItemsAddress%3e%0d%0a++++++++++++%3cType%3e4%3c%2fType%3e%0d%0a++++++++++++%3cNameIndex%3e4%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Temperate%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T%246%3c%2fAddress%3e%0d%0a++++++++++++%3cListItemsAddress%3e%3d'Mx+FORECAST'!%24AT%2412%3a%24AT%2420%3c%2fListItemsAddress%3e%0d%0a++++++++++++%3cType%3e4%3c%2fType%3e%0d%0a++++++++++++%3cNameIndex%3e5%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7%2c000%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nputCell%3e%0d%0a++++++++++++%3cAddress%3e%3d'Mx+FORECAST'!%24V%246%3c%2fAddress%3e%0d%0a++++++++++++%3cListItemsAddress%3e%3d'Mx+FORECAST'!%24AS%2412%3a%24AS%2427%3c%2fListItemsAddress%3e%0d%0a++++++++++++%3cType%3e4%3c%2fType%3e%0d%0a++++++++++++%3cNameIndex%3e6%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240%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2fCells%3e%0d%0a++++++%3c%2fInputCells%3e%0d%0a++++%3c%2fInputCellsCollection%3e%0d%0a++%3c%2fPageInputCells%3e%0d%0a++%3cPageLayouts%3e%0d%0a++++%3cIsTabsVisible%3etrue%3c%2fIsTabsVisible%3e%0d%0a++++%3cPageLayoutCollection%3e%0d%0a++++++%3cPageLayout%3e%0d%0a++++++++%3cAlignment%3eCenter%3c%2fAlignment%3e%0d%0a++++++++%3cAutoResponseEmail%3eFalse%3c%2fAutoResponseEmail%3e%0d%0a++++++++%3cBorder%3etrue%3c%2fBorder%3e%0d%0a++++++++%3cCellAlignment%3etrue%3c%2fCellAlignment%3e%0d%0a++++++++%3cChangeRecordStatus%3efalse%3c%2fChangeRecordStatus%3e%0d%0a++++++++%3cCharts%3etrue%3c%2fCharts%3e%0d%0a++++++++%3cComments%3eExcel%3c%2fComments%3e%0d%0a++++++++%3cColor%3etrue%3c%2fColor%3e%0d%0a++++++++%3cControls%3e%0d%0a++++++++++%3cPageControl%3e%0d%0a++++++++++++%3cEnabled%3etrue%3c%2fEnabled%3e%0d%0a++++++++++++%3cType%3eCalculate%3c%2fType%3e%0d%0a++++++++++++%3cOrder%3e0%3c%2fOrder%3e%0d%0a++++++++++++%3cCellLink%3eDEFAULT%3c%2fCellLink%3e%0d%0a++++++++++++%3cName%3eCalculate%3c%2fName%3e%0d%0a++++++++++%3c%2fPageControl%3e%0d%0a++++++++++%3cPageControl%3e%0d%0a++++++++++++%3cEnabled%3efalse%3c%2fEnabled%3e%0d%0a++++++++++++%3cType%3eReset%3c%2fType%3e%0d%0a++++++++++++%3cOrder%3e1%3c%2fOrder%3e%0d%0a++++++++++++%3cCellLink%3eDEFAULT%3c%2fCellLink%3e%0d%0a++++++++++++%3cName%3eReset%3c%2fName%3e%0d%0a++++++++++%3c%2fPageControl%3e%0d%0a++++++++++%3cPageControl%3e%0d%0a++++++++++++%3cEnabled%3efalse%3c%2fEnabled%3e%0d%0a++++++++++++%3cType%3eSave%3c%2fType%3e%0d%0a++++++++++++%3cOrder%3e2%3c%2fOrder%3e%0d%0a++++++++++++%3cCellLink%3eDEFAULT%3c%2fCellLink%3e%0d%0a++++++++++++%3cName%3eSave%3c%2fName%3e%0d%0a++++++++++%3c%2fPageControl%3e%0d%0a++++++++++%3cPageControl%3e%0d%0a++++++++++++%3cEnabled%3efalse%3c%2fEnabled%3e%0d%0a++++++++++++%3cType%3eBack%3c%2fType%3e%0d%0a++++++++++++%3cOrder%3e3%3c%2fOrder%3e%0d%0a++++++++++++%3cCellLink%3eDEFAULT%3c%2fCellLink%3e%0d%0a++++++++++++%3cName%3eBack%3c%2fName%3e%0d%0a++++++++++%3c%2fPageControl%3e%0d%0a++++++++++%3cPageControl%3e%0d%0a++++++++++++%3cEnabled%3efalse%3c%2fEnabled%3e%0d%0a++++++++++++%3cType%3eNext%3c%2fType%3e%0d%0a++++++++++++%3cOrder%3e4%3c%2fOrder%3e%0d%0a++++++++++++%3cCellLink%3eDEFAULT%3c%2fCellLink%3e%0d%0a++++++++++++%3cName%3eNext%3c%2fName%3e%0d%0a++++++++++%3c%2fPageControl%3e%0d%0a++++++++++%3cPageControl%3e%0d%0a++++++++++++%3cEnabled%3efalse%3c%2fEnabled%3e%0d%0a++++++++++++%3cType%3eExport%3c%2fType%3e%0d%0a++++++++++++%3cOrder%3e5%3c%2fOrder%3e%0d%0a++++++++++++%3cCellLink%3eDEFAULT%3c%2fCellLink%3e%0d%0a++++++++++++%3cName%3eExport%3c%2fName%3e%0d%0a++++++++++%3c%2fPageControl%3e%0d%0a++++++++++%3cPageControl%3e%0d%0a++++++++++++%3cEnabled%3efalse%3c%2fEnabled%3e%0d%0a++++++++++++%3cType%3eCustom%3c%2fType%3e%0d%0a++++++++++++%3cOrder%3e6%3c%2fOrder%3e%0d%0a++++++++++++%3cCellLink%3eDEFAULT%3c%2fCellLink%3e%0d%0a++++++++++++%3cName%3eCustom%3c%2fName%3e%0d%0a++++++++++%3c%2fPageControl%3e%0d%0a++++++++%3c%2fControls%3e%0d%0a++++++++%3cCustomButtonActions%3e%0d%0a++++++++++%3cCalculate%3efalse%3c%2fCalculate%3e%0d%0a++++++++++%3cReset%3efalse%3c%2fReset%3e%0d%0a++++++++++%3cSave%3efalse%3c%2fSave%3e%0d%0a++++++++++%3cExport%3efalse%3c%2fExport%3e%0d%0a++++++++++%3cIsPageForwardingChecked%3efalse%3c%2fIsPageForwardingChecked%3e%0d%0a++++++++++%3cIsExternalURLChecked%3efalse%3c%2fIsExternalURLChecked%3e%0d%0a++++++++++%3cIsCustomPageChecked%3efalse%3c%2fIsCustomPageChecked%3e%0d%0a++++++++++%3cIsDisableByCellValueChecked%3efalse%3c%2fIsDisableByCellValueChecked%3e%0d%0a++++++++++%3cIsCustomButtonEnabled%3efalse%3c%2fIsCustomButtonEnabled%3e%0d%0a++++++++++%3cIsAutoResponseMailChecked%3efalse%3c%2fIsAutoResponseMailChecked%3e%0d%0a++++++++++%3cIsNotificationEmailChecked%3efalse%3c%2fIsNotificationEmailChecked%3e%0d%0a++++++++++%3cIsChangeRecordStatusChecked%3efalse%3c%2fIsChangeRecordStatusChecked%3e%0d%0a++++++++++%3cIsTransferRecordOwnershipChecked%3efalse%3c%2fIsTransferRecordOwnershipChecked%3e%0d%0a++++++++++%3cIsPrintEnabled%3efalse%3c%2fIsPrintEnabled%3e%0d%0a++++++++%3c%2fCustomButtonActions%3e%0d%0a++++++++%3cDisplayRange%3e%3d'Mx+FORECAST'!%24B%242%3a%24V%2451%3c%2fDisplayRange%3e%0d%0a++++++++%3cFileName%3e1.+Mx+FORECAST%3c%2fFileName%3e%0d%0a++++++++%3cFont%3etrue%3c%2fFont%3e%0d%0a++++++++%3cFormControls%3etrue%3c%2fFormControls%3e%0d%0a++++++++%3cImages%3etrue%3c%2fImages%3e%0d%0a++++++++%3cIndex%3e0%3c%2fIndex%3e%0d%0a++++++++%3cIsAjaxEnabled%3efalse%3c%2fIsAjaxEnabled%3e%0d%0a++++++++%3cIsSaveButtonEnabled%3efalse%3c%2fIsSaveButtonEnabled%3e%0d%0a++++++++%3cIsSaveButtonEnabledByCellValue%3efalse%3c%2fIsSaveButtonEnabledByCellValue%3e%0d%0a++++++++%3cIsPageHidingEnabled%3efalse%3c%2fIsPageHidingEnabled%3e%0d%0a++++++++%3cIsPageVisible%3etrue%3c%2fIsPageVisible%3e%0d%0a++++++++%3cPageVisibilityControllerRange+%2f%3e%0d%0a++++++++%3cLocation%3eBottom%3c%2fLocation%3e%0d%0a++++++++%3cNotificationEmail%3eFalse%3c%2fNotificationEmail%3e%0d%0a++++++++%3cNotificationEmailBodyFormula+%2f%3e%0d%0a++++++++%3cNotificationEmailSubjectFormula+%2f%3e%0d%0a++++++++%3cNotificationEmailRecepientEmailFormula+%2f%3e%0d%0a++++++++%3cOrder%3e0%3c%2fOrder%3e%0d%0a++++++++%3cPageForwarding%3eFalse%3c%2fPageForwarding%3e%0d%0a++++++++%3cPageForwardingCustomPage%3eFalse%3c%2fPageForwardingCustomPage%3e%0d%0a++++++++%3cPageForwardingIsExternalURL%3eFalse%3c%2fPageForwardingIsExternalURL%3e%0d%0a++++++++%3cPageForwardingExternalURL%3eNone%3c%2fPageForwardingExternalURL%3e%0d%0a++++++++%3cPivots%3etrue%3c%2fPivots%3e%0d%0a++++++++%3cRecordStatusValue+%2f%3e%0d%0a++++++++%3cTransferRecordOwnership%3efalse%3c%2fTransferRecordOwnership%3e%0d%0a++++++++%3cTransferRecordOwnershipValue+%2f%3e%0d%0a++++++%3c%2fPageLayout%3e%0d%0a++++%3c%2fPageLayoutCollection%3e%0d%0a++++%3cInitialPageIndex%3e0%3c%2fInitialPageIndex%3e%0d%0a++++%3cApplicationName%3eA320+Family+Mx+Forecaster_Test%3c%2fApplicationName%3e%0d%0a++%3c%2fPageLayouts%3e%0d%0a++%3cSavingCells%3e%0d%0a++++%3cCellCount%3e0%3c%2fCellCount%3e%0d%0a++%3c%2fSavingCells%3e%0d%0a++%3cTables%3e%0d%0a++++%3cTableCollection%3e%0d%0a++++++%3cTable%3e%0d%0a++++++++%3cAddress%3e%3d'Mx+FORECAST'!%24B%242%3a%24V%2451%3c%2fAddress%3e%0d%0a++++++++%3cName%3ePSWOutput_0%3c%2fName%3e%0d%0a++++++++%3cColumnWidths%3e50.25-13.5-56.25-13.5-45.75-13.5-51-13.5-51-14.25-51-13.5-51-13.5-45.75-21-51-13.5-51-55.5-55.5%3c%2fColumnWidths%3e%0d%0a++++++++%3cRowCount%3e50%3c%2fRowCount%3e%0d%0a++++++++%3cWidth%3e744.75%3c%2fWidth%3e%0d%0a++++++++%3cInputItemCount%3e7%3c%2fInputItemCount%3e%0d%0a++++++++%3cTRs%3e%0d%0a++++++++++%3cTR%3e%0d%0a++++++++++++%3cTDs%3e%0d%0a++++++++++++++%3cTD%3e%0d%0a++++++++++++++++%3cPSCFormated%3efalse%3c%2fPSCFormated%3e%0d%0a++++++++++++++++%3cStyle%3eClass1%3c%2fStyle%3e%0d%0a++++++++++++++++%3cMerge%3eFalse%3c%2fMerge%3e%0d%0a++++++++++++++++%3cRowSpan+%2f%3e%0d%0a++++++++++++++++%3cColSpan+%2f%3e%0d%0a++++++++++++++++%3cFormat%3eGeneral%3c%2fFormat%3e%0d%0a++++++++++++++++%3cWidth%3e50.25%3c%2fWidth%3e%0d%0a++++++++++++++++%3cText%3e+A320+FAMILY++-+MAINTENANCE+FORECAST%3c%2fText%3e%0d%0a++++++++++++++++%3cHeight%3e11.25%3c%2fHeight%3e%0d%0a++++++++++++++++%3cAlign%3eLeft%3c%2fAlign%3e%0d%0a++++++++++++++++%3cVerticalAlign+%2f%3e%0d%0a++++++++++++++++%3cCellHasFormula%3eFalse%3c%2fCellHasFormula%3e%0d%0a++++++++++++++++%3cFontName%3eArial%3c%2fFontName%3e%0d%0a++++++++++++++++%3cWrapText%3eFalse%3c%2fWrapText%3e%0d%0a++++++++++++++++%3cFontSize%3e8%3c%2fFontSize%3e%0d%0a++++++++++++++++%3cX%3e1%3c%2fX%3e%0d%0a++++++++++++++++%3cY%3e1%3c%2fY%3e%0d%0a++++++++++++++++%3cImages+%2f%3e%0d%0a++++++++++++++++%3cFormControls+%2f%3e%0d%0a++++++++++++++++%3cGrid+%2f%3e%0d%0a++++++++++++++++%3cExportPage+%2f%3e%0d%0a++++++++++++++++%3cExportRange+%2f%3e%0d%0a++++++++++++++++%3cMaps+%2f%3e%0d%0a++++++++++++++%3c%2fTD%3e%0d%0a++++++++++++++%3cTD%3e%0d%0a++++++++++++++++%3cPSCFormated%3efalse%3c%2fPSCFormated%3e%0d%0a++++++++++++++++%3cStyle%3eClass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56.25%3c%2fWidth%3e%0d%0a++++++++++++++++%3cText+%2f%3e%0d%0a++++++++++++++++%3cHeight%3e11.25%3c%2fHeight%3e%0d%0a++++++++++++++++%3cAlign%3eCenter%3c%2fAlign%3e%0d%0a++++++++++++++++%3cVerticalAlign+%2f%3e%0d%0a++++++++++++++++%3cCellHasFormula%3eFalse%3c%2fCellHasFormula%3e%0d%0a++++++++++++++++%3cFontName%3eArial%3c%2fFontName%3e%0d%0a++++++++++++++++%3cWrapText%3eFalse%3c%2fWrapText%3e%0d%0a++++++++++++++++%3cFontSize%3e8%3c%2fFontSize%3e%0d%0a++++++++++++++++%3cX%3e3%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3e%0d%0a++++++++++++++++%3cText+%2f%3e%0d%0a++++++++++++++++%3cHeight%3e11.25%3c%2fHeight%3e%0d%0a++++++++++++++++%3cAlign%3eCenter%3c%2fAlign%3e%0d%0a++++++++++++++++%3cVerticalAlign+%2f%3e%0d%0a++++++++++++++++%3cCellHasFormula%3eFalse%3c%2fCellHasFormula%3e%0d%0a++++++++++++++++%3cFontName%3eArial%3c%2fFontName%3e%0d%0a++++++++++++++++%3cWrapText%3eFalse%3c%2fWrapText%3e%0d%0a++++++++++++++++%3cFontSize%3e8%3c%2fFontSize%3e%0d%0a++++++++++++++++%3cX%3e4%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45.75%3c%2fWidth%3e%0d%0a++++++++++++++++%3cText+%2f%3e%0d%0a++++++++++++++++%3cHeight%3e11.25%3c%2fHeight%3e%0d%0a++++++++++++++++%3cAlign%3eCenter%3c%2fAlign%3e%0d%0a++++++++++++++++%3cVerticalAlign+%2f%3e%0d%0a++++++++++++++++%3cCellHasFormula%3eFalse%3c%2fCellHasFormula%3e%0d%0a++++++++++++++++%3cFontName%3eArial%3c%2fFontName%3e%0d%0a++++++++++++++++%3cWrapText%3eFalse%3c%2fWrapText%3e%0d%0a++++++++++++++++%3cFontSize%3e8%3c%2fFontSize%3e%0d%0a++++++++++++++++%3cX%3e5%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3e%0d%0a++++++++++++++++%3cText+%2f%3e%0d%0a++++++++++++++++%3cHeight%3e11.25%3c%2fHeight%3e%0d%0a++++++++++++++++%3cAlign%3eCenter%3c%2fAlign%3e%0d%0a++++++++++++++++%3cVerticalAlign+%2f%3e%0d%0a++++++++++++++++%3cCellHasFormula%3eFalse%3c%2fCellHasFormula%3e%0d%0a++++++++++++++++%3cFontName%3eArial%3c%2fFontName%3e%0d%0a++++++++++++++++%3cWrapText%3eFalse%3c%2fWrapText%3e%0d%0a++++++++++++++++%3cFontSize%3e8%3c%2fFontSize%3e%0d%0a++++++++++++++++%3cX%3e6%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7%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t>
  </si>
  <si>
    <t xml:space="preserve"> 3e%0d%0a++++++++++++++++%3cText+%2f%3e%0d%0a++++++++++++++++%3cHeight%3e11.25%3c%2fHeight%3e%0d%0a++++++++++++++++%3cAlign%3eCenter%3c%2fAlign%3e%0d%0a++++++++++++++++%3cVerticalAlign+%2f%3e%0d%0a++++++++++++++++%3cCellHasFormula%3eFalse%3c%2fCellHasFormula%3e%0d%0a++++++++++++++++%3cFontName%3eArial%3c%2fFontName%3e%0d%0a++++++++++++++++%3cWrapText%3eFalse%3c%2fWrapText%3e%0d%0a++++++++++++++++%3cFontSize%3e8%3c%2fFontSize%3e%0d%0a++++++++++++++++%3cX%3e8%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9%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14.25%3c%2fWidth%3e%0d%0a++++++++++++++++%3cText+%2f%3e%0d%0a++++++++++++++++%3cHeight%3e11.25%3c%2fHeight%3e%0d%0a++++++++++++++++%3cAlign%3eCenter%3c%2fAlign%3e%0d%0a++++++++++++++++%3cVerticalAlign+%2f%3e%0d%0a++++++++++++++++%3cCellHasFormula%3eFalse%3c%2fCellHasFormula%3e%0d%0a++++++++++++++++%3cFontName%3eArial%3c%2fFontName%3e%0d%0a++++++++++++++++%3cWrapText%3eFalse%3c%2fWrapText%3e%0d%0a++++++++++++++++%3cFontSize%3e8%3c%2fFontSize%3e%0d%0a++++++++++++++++%3cX%3e10%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11%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3e%0d%0a++++++++++++++++%3cText+%2f%3e%0d%0a++++++++++++++++%3cHeight%3e11.25%3c%2fHeight%3e%0d%0a++++++++++++++++%3cAlign%3eCenter%3c%2fAlign%3e%0d%0a++++++++++++++++%3cVerticalAlign+%2f%3e%0d%0a++++++++++++++++%3cCellHasFormula%3eFalse%3c%2fCellHasFormula%3e%0d%0a++++++++++++++++%3cFontName%3eArial%3c%2fFontName%3e%0d%0a++++++++++++++++%3cWrapText%3eFalse%3c%2fWrapText%3e%0d%0a++++++++++++++++%3cFontSize%3e8%3c%2fFontSize%3e%0d%0a++++++++++++++++%3cX%3e12%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13%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3e%0d%0a++++++++++++++++%3cText+%2f%3e%0d%0a++++++++++++++++%3cHeight%3e11.25%3c%2fHeight%3e%0d%0a++++++++++++++++%3cAlign%3eCenter%3c%2fAlign%3e%0d%0a++++++++++++++++%3cVerticalAlign+%2f%3e%0d%0a++++++++++++++++%3cCellHasFormula%3eFalse%3c%2fCellHasFormula%3e%0d%0a++++++++++++++++%3cFontName%3eArial%3c%2fFontName%3e%0d%0a++++++++++++++++%3cWrapText%3eFalse%3c%2fWrapText%3e%0d%0a++++++++++++++++%3cFontSize%3e8%3c%2fFontSize%3e%0d%0a++++++++++++++++%3cX%3e14%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45.75%3c%2fWidth%3e%0d%0a++++++++++++++++%3cText+%2f%3e%0d%0a++++++++++++++++%3cHeight%3e11.25%3c%2fHeight%3e%0d%0a++++++++++++++++%3cAlign%3eCenter%3c%2fAlign%3e%0d%0a++++++++++++++++%3cVerticalAlign+%2f%3e%0d%0a++++++++++++++++%3cCellHasFormula%3eFalse%3c%2fCellHasFormula%3e%0d%0a++++++++++++++++%3cFontName%3eArial%3c%2fFontName%3e%0d%0a++++++++++++++++%3cWrapText%3eFalse%3c%2fWrapText%3e%0d%0a++++++++++++++++%3cFontSize%3e8%3c%2fFontSize%3e%0d%0a++++++++++++++++%3cX%3e15%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21%3c%2fWidth%3e%0d%0a++++++++++++++++%3cText+%2f%3e%0d%0a++++++++++++++++%3cHeight%3e11.25%3c%2fHeight%3e%0d%0a++++++++++++++++%3cAlign%3eCenter%3c%2fAlign%3e%0d%0a++++++++++++++++%3cVerticalAlign+%2f%3e%0d%0a++++++++++++++++%3cCellHasFormula%3eFalse%3c%2fCellHasFormula%3e%0d%0a++++++++++++++++%3cFontName%3eArial%3c%2fFontName%3e%0d%0a++++++++++++++++%3cWrapText%3eFalse%3c%2fWrapText%3e%0d%0a++++++++++++++++%3cFontSize%3e8%3c%2fFontSize%3e%0d%0a++++++++++++++++%3cX%3e16%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17%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13.5%3c%2fWidth%3e%0d%0a++++++++++++++++%3cText+%2f%3e%0d%0a++++++++++++++++%3cHeight%3e11.25%3c%2fHeight%3e%0d%0a++++++++++++++++%3cAlign%3eCenter%3c%2fAlign%3e%0d%0a++++++++++++++++%3cVerticalAlign+%2f%3e%0d%0a++++++++++++++++%3cCellHasFormula%3eFalse%3c%2fCellHasFormula%3e%0d%0a++++++++++++++++%3cFontName%3eArial%3c%2fFontName%3e%0d%0a++++++++++++++++%3cWrapText%3eFalse%3c%2fWrapText%3e%0d%0a++++++++++++++++%3cFontSize%3e8%3c%2fFontSize%3e%0d%0a++++++++++++++++%3cX%3e18%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51%3c%2fWidth%3e%0d%0a++++++++++++++++%3cText+%2f%3e%0d%0a++++++++++++++++%3cHeight%3e11.25%3c%2fHeight%3e%0d%0a++++++++++++++++%3cAlign%3eCenter%3c%2fAlign%3e%0d%0a++++++++++++++++%3cVerticalAlign+%2f%3e%0d%0a++++++++++++++++%3cCellHasFormula%3eFalse%3c%2fCellHasFormula%3e%0d%0a++++++++++++++++%3cFontName%3eArial%3c%2fFontName%3e%0d%0a++++++++++++++++%3cWrapText%3eFalse%3c%2fWrapText%3e%0d%0a++++++++++++++++%3cFontSize%3e8%3c%2fFontSize%3e%0d%0a++++++++++++++++%3cX%3e19%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55.5%3c%2fWidth%3e%0d%0a++++++++++++++++%3cText+%2f%3e%0d%0a++++++++++++++++%3cHeight%3e11.25%3c%2fHeight%3e%0d%0a++++++++++++++++%3cAlign%3eCenter%3c%2fAlign%3e%0d%0a++++++++++++++++%3cVerticalAlign+%2f%3e%0d%0a++++++++++++++++%3cCellHasFormula%3eFalse%3c%2fCellHasFormula%3e%0d%0a++++++++++++++++%3cFontName%3eArial%3c%2fFontName%3e%0d%0a++++++++++++++++%3cWrapText%3eFalse%3c%2fWrapText%3e%0d%0a++++++++++++++++%3cFontSize%3e8%3c%2fFontSize%3e%0d%0a++++++++++++++++%3cX%3e20%3c%2fX%3e%0d%0a++++++++++++++++%3cY%3e1%3c%2fY%3e%0d%0a++++++++++++++++%3cImages+%2f%3e%0d%0a++++++++++++++++%3cFormControls+%2f%3e%0d%0a++++++++++++++++%3cGrid+%2f%3e%0d%0a++++++++++++++++%3cExportPage+%2f%3e%0d%0a++++++++++++++++%3cExportRange+%2f%3e%0d%0a++++++++++++++++%3cMaps+%2f%3e%0d%0a++++++++++++++%3c%2fTD%3e%0d%0a++++++++++++++%3cTD%3e%0d%0a++++++++++++++++%3cPSCFormated%3efalse%3c%2fPSCFormated%3e%0d%0a++++++++++++++++%3cStyle%3eClass3%3c%2fStyle%3e%0d%0a++++++++++++++++%3cMerge%3eFalse%3c%2fMerge%3e%0d%0a++++++++++++++++%3cRowSpan+%2f%3e%0d%0a++++++++++++++++%3cColSpan+%2f%3e%0d%0a++++++++++++++++%3cFormat%3eGeneral%3c%2fFormat%3e%0d%0a++++++++++++++++%3cWidth%3e55.5%3c%2fWidth%3e%0d%0a++++++++++++++++%3cText+%2f%3e%0d%0a++++++++++++++++%3cHeight%3e11.25%3c%2fHeight%3e%0d%0a++++++++++++++++%3cAlign%3eCenter%3c%2fAlign%3e%0d%0a++++++++++++++++%3cVerticalAlign+%2f%3e%0d%0a++++++++++++++++%3cCellHasFormula%3eFalse%3c%2fCellHasFormula%3e%0d%0a++++++++++++++++%3cFontName%3eArial%3c%2fFontName%3e%0d%0a++++++++++++++++%3cWrapText%3eFalse%3c%2fWrapText%3e%0d%0a++++++++++++++++%3cFontSize%3e8%3c%2fFontSize%3e%0d%0a++++++++++++++++%3cX%3e21%3c%2fX%3e%0d%0a++++++++++++++++%3cY%3e1%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3c%2fStyle%3e%0d%0a++++++++++++++++%3cMerge%3eFalse%3c%2fMerge%3e%0d%0a++++++++++++++++%3cRowSpan+%2f%3e%0d%0a++++++++++++++++%3cColSpan+%2f%3e%0d%0a++++++++++++++++%3cFormat%3eGeneral%3c%2fFormat%3e%0d%0a++++++++++++++++%3cWidth%3e50.25%3c%2fWidth%3e%0d%0a++++++++++++++++%3cText+%2f%3e%0d%0a++++++++++++++++%3cHeight%3e1.5%3c%2fHeight%3e%0d%0a++++++++++++++++%3cAlign%3eLeft%3c%2fAlign%3e%0d%0a++++++++++++++++%3cVerticalAlign+%2f%3e%0d%0a++++++++++++++++%3cCellHasFormula%3eFalse%3c%2fCellHasFormula%3e%0d%0a++++++++++++++++%3cFontName%3eArial%3c%2fFontName%3e%0d%0a++++++++++++++++%3cWrapText%3eFalse%3c%2fWrapText%3e%0d%0a++++++++++++++++%3cFontSize%3e8%3c%2fFontSize%3e%0d%0a++++++++++++++++%3cX%3e1%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2%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56.25%3c%2fWidth%3e%0d%0a++++++++++++++++%3cText+%2f%3e%0d%0a++++++++++++++++%3cHeight%3e1.5%3c%2fHeight%3e%0d%0a++++++++++++++++%3cAlign%3eLeft%3c%2fAlign%3e%0d%0a++++++++++++++++%3cVerticalAlign+%2f%3e%0d%0a++++++++++++++++%3cCellHasFormula%3eFalse%3c%2fCellHasFormula%3e%0d%0a++++++++++++++++%3cFontName%3eArial%3c%2fFontName%3e%0d%0a++++++++++++++++%3cWrapText%3eFalse%3c%2fWrapText%3e%0d%0a++++++++++++++++%3cFontSize%3e8%3c%2fFontSize%3e%0d%0a++++++++++++++++%3cX%3e3%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4%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45.75%3c%2fWidth%3e%0d%0a++++++++++++++++%3cText+%2f%3e%0d%0a++++++++++++++++%3cHeight%3e1.5%3c%2fHeight%3e%0d%0a++++++++++++++++%3cAlign%3eLeft%3c%2fAlign%3e%0d%0a++++++++++++++++%3cVerticalAlign+%2f%3e%0d%0a++++++++++++++++%3cCellHasFormula%3eFalse%3c%2fCellHasFormula%3e%0d%0a++++++++++++++++%3cFontName%3eArial%3c%2fFontName%3e%0d%0a++++++++++++++++%3cWrapText%3eFalse%3c%2fWrapText%3e%0d%0a++++++++++++++++%3cFontSize%3e8%3c%2fFontSize%3e%0d%0a++++++++++++++++%3cX%3e5%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6%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7%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8%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9%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14.25%3c%2fWidth%3e%0d%0a++++++++++++++++%3cText+%2f%3e%0d%0a++++++++++++++++%3cHeight%3e1.5%3c%2fHeight%3e%0d%0a++++++++++++++++%3cAlign%3eLeft%3c%2fAlign%3e%0d%0a++++++++++++++++%3cVerticalAlign+%2f%3e%0d%0a++++++++++++++++%3cCellHasFormula%3eFalse%3c%2fCellHasFormula%3e%0d%0a++++++++++++++++%3cFontName%3eArial%3c%2fFontName%3e%0d%0a++++++++++++++++%3cWrapText%3eFalse%3c%2fWrapText%3e%0d%0a++++++++++++++++%3cFontSize%3e8%3c%2fFontSize%3e%0d%0a++++++++++++++++%3cX%3e10%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11%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12%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13%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14%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45.75%3c%2fWidth%3e%0d%0a++++++++++++++++%3cText+%2f%3e%0d%0a++++++++++++++++%3cHeight%3e1.5%3c%2fHeight%3e%0d%0a++++++++++++++++%3cAlign%3eLeft%3c%2fAlign%3e%0d%0a++++++++++++++++</t>
  </si>
  <si>
    <t xml:space="preserve"> %3cVerticalAlign+%2f%3e%0d%0a++++++++++++++++%3cCellHasFormula%3eFalse%3c%2fCellHasFormula%3e%0d%0a++++++++++++++++%3cFontName%3eArial%3c%2fFontName%3e%0d%0a++++++++++++++++%3cWrapText%3eFalse%3c%2fWrapText%3e%0d%0a++++++++++++++++%3cFontSize%3e8%3c%2fFontSize%3e%0d%0a++++++++++++++++%3cX%3e15%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21%3c%2fWidth%3e%0d%0a++++++++++++++++%3cText+%2f%3e%0d%0a++++++++++++++++%3cHeight%3e1.5%3c%2fHeight%3e%0d%0a++++++++++++++++%3cAlign%3eLeft%3c%2fAlign%3e%0d%0a++++++++++++++++%3cVerticalAlign+%2f%3e%0d%0a++++++++++++++++%3cCellHasFormula%3eFalse%3c%2fCellHasFormula%3e%0d%0a++++++++++++++++%3cFontName%3eArial%3c%2fFontName%3e%0d%0a++++++++++++++++%3cWrapText%3eFalse%3c%2fWrapText%3e%0d%0a++++++++++++++++%3cFontSize%3e8%3c%2fFontSize%3e%0d%0a++++++++++++++++%3cX%3e16%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17%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13.5%3c%2fWidth%3e%0d%0a++++++++++++++++%3cText+%2f%3e%0d%0a++++++++++++++++%3cHeight%3e1.5%3c%2fHeight%3e%0d%0a++++++++++++++++%3cAlign%3eLeft%3c%2fAlign%3e%0d%0a++++++++++++++++%3cVerticalAlign+%2f%3e%0d%0a++++++++++++++++%3cCellHasFormula%3eFalse%3c%2fCellHasFormula%3e%0d%0a++++++++++++++++%3cFontName%3eArial%3c%2fFontName%3e%0d%0a++++++++++++++++%3cWrapText%3eFalse%3c%2fWrapText%3e%0d%0a++++++++++++++++%3cFontSize%3e8%3c%2fFontSize%3e%0d%0a++++++++++++++++%3cX%3e18%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51%3c%2fWidth%3e%0d%0a++++++++++++++++%3cText+%2f%3e%0d%0a++++++++++++++++%3cHeight%3e1.5%3c%2fHeight%3e%0d%0a++++++++++++++++%3cAlign%3eLeft%3c%2fAlign%3e%0d%0a++++++++++++++++%3cVerticalAlign+%2f%3e%0d%0a++++++++++++++++%3cCellHasFormula%3eFalse%3c%2fCellHasFormula%3e%0d%0a++++++++++++++++%3cFontName%3eArial%3c%2fFontName%3e%0d%0a++++++++++++++++%3cWrapText%3eFalse%3c%2fWrapText%3e%0d%0a++++++++++++++++%3cFontSize%3e8%3c%2fFontSize%3e%0d%0a++++++++++++++++%3cX%3e19%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55.5%3c%2fWidth%3e%0d%0a++++++++++++++++%3cText+%2f%3e%0d%0a++++++++++++++++%3cHeight%3e1.5%3c%2fHeight%3e%0d%0a++++++++++++++++%3cAlign%3eLeft%3c%2fAlign%3e%0d%0a++++++++++++++++%3cVerticalAlign+%2f%3e%0d%0a++++++++++++++++%3cCellHasFormula%3eFalse%3c%2fCellHasFormula%3e%0d%0a++++++++++++++++%3cFontName%3eArial%3c%2fFontName%3e%0d%0a++++++++++++++++%3cWrapText%3eFalse%3c%2fWrapText%3e%0d%0a++++++++++++++++%3cFontSize%3e8%3c%2fFontSize%3e%0d%0a++++++++++++++++%3cX%3e20%3c%2fX%3e%0d%0a++++++++++++++++%3cY%3e2%3c%2fY%3e%0d%0a++++++++++++++++%3cImages+%2f%3e%0d%0a++++++++++++++++%3cFormControls+%2f%3e%0d%0a++++++++++++++++%3cGrid+%2f%3e%0d%0a++++++++++++++++%3cExportPage+%2f%3e%0d%0a++++++++++++++++%3cExportRange+%2f%3e%0d%0a++++++++++++++++%3cMaps+%2f%3e%0d%0a++++++++++++++%3c%2fTD%3e%0d%0a++++++++++++++%3cTD%3e%0d%0a++++++++++++++++%3cPSCFormated%3efalse%3c%2fPSCFormated%3e%0d%0a++++++++++++++++%3cStyle%3eClass4%3c%2fStyle%3e%0d%0a++++++++++++++++%3cMerge%3eFalse%3c%2fMerge%3e%0d%0a++++++++++++++++%3cRowSpan+%2f%3e%0d%0a++++++++++++++++%3cColSpan+%2f%3e%0d%0a++++++++++++++++%3cFormat%3eGeneral%3c%2fFormat%3e%0d%0a++++++++++++++++%3cWidth%3e55.5%3c%2fWidth%3e%0d%0a++++++++++++++++%3cText+%2f%3e%0d%0a++++++++++++++++%3cHeight%3e1.5%3c%2fHeight%3e%0d%0a++++++++++++++++%3cAlign%3eLeft%3c%2fAlign%3e%0d%0a++++++++++++++++%3cVerticalAlign+%2f%3e%0d%0a++++++++++++++++%3cCellHasFormula%3eFalse%3c%2fCellHasFormula%3e%0d%0a++++++++++++++++%3cFontName%3eArial%3c%2fFontName%3e%0d%0a++++++++++++++++%3cWrapText%3eFalse%3c%2fWrapText%3e%0d%0a++++++++++++++++%3cFontSize%3e8%3c%2fFontSize%3e%0d%0a++++++++++++++++%3cX%3e21%3c%2fX%3e%0d%0a++++++++++++++++%3cY%3e2%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5%3c%2fStyle%3e%0d%0a++++++++++++++++%3cMerge%3eFalse%3c%2fMerge%3e%0d%0a++++++++++++++++%3cRowSpan+%2f%3e%0d%0a++++++++++++++++%3cColSpan+%2f%3e%0d%0a++++++++++++++++%3cFormat%3eGeneral%3c%2fFormat%3e%0d%0a++++++++++++++++%3cWidth%3e50.25%3c%2fWidth%3e%0d%0a++++++++++++++++%3cText%3eAIRCRAFT+%2f+ENGINE%3c%2fText%3e%0d%0a++++++++++++++++%3cHeight%3e11.25%3c%2fHeight%3e%0d%0a++++++++++++++++%3cAlign%3eLeft%3c%2fAlign%3e%0d%0a++++++++++++++++%3cVerticalAlign+%2f%3e%0d%0a++++++++++++++++%3cCellHasFormula%3eFalse%3c%2fCellHasFormula%3e%0d%0a++++++++++++++++%3cFontName%3eArial%3c%2fFontName%3e%0d%0a++++++++++++++++%3cWrapText%3eFalse%3c%2fWrapText%3e%0d%0a++++++++++++++++%3cFontSize%3e8%3c%2fFontSize%3e%0d%0a++++++++++++++++%3cX%3e1%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51%3c%2fWidth%3e%0d%0a++++++++++++++++%3cText%3eOPERATIONAL+PROFILE%3c%2fText%3e%0d%0a++++++++++++++++%3cHeight%3e11.25%3c%2fHeight%3e%0d%0a++++++++++++++++%3cAlign%3eLeft%3c%2fAlign%3e%0d%0a++++++++++++++++%3cVerticalAlign+%2f%3e%0d%0a++++++++++++++++%3cCellHasFormula%3eFalse%3c%2fCellHasFormula%3e%0d%0a++++++++++++++++%3cFontName%3eArial%3c%2fFontName%3e%0d%0a++++++++++++++++%3cWrapText%3eFalse%3c%2fWrapText%3e%0d%0a++++++++++++++++%3cFontSize%3e8%3c%2fFontSize%3e%0d%0a++++++++++++++++%3cX%3e9%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3%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51%3c%2fWidth%3e%0d%0a++++++++++++++++%3cText%3eBUILD+GOAL%3c%2fText%3e%0d%0a++++++++++++++++%3cHeight%3e11.25%3c%2fHeight%3e%0d%0a++++++++++++++++%3cAlign%3eLeft%3c%2fAlign%3e%0d%0a++++++++++++++++%3cVerticalAlign+%2f%3e%0d%0a++++++++++++++++%3cCellHasFormula%3eFalse%3c%2fCellHasFormula%3e%0d%0a++++++++++++++++%3cFontName%3eArial%3c%2fFontName%3e%0d%0a++++++++++++++++%3cWrapText%3eFalse%3c%2fWrapText%3e%0d%0a++++++++++++++++%3cFontSize%3e8%3c%2fFontSize%3e%0d%0a++++++++++++++++%3cX%3e19%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3%3c%2fY%3e%0d%0a++++++++++++++++%3cImages+%2f%3e%0d%0a++++++++++++++++%3cFormControls+%2f%3e%0d%0a++++++++++++++++%3cGrid+%2f%3e%0d%0a++++++++++++++++%3cExportPage+%2f%3e%0d%0a++++++++++++++++%3cExportRange+%2f%3e%0d%0a++++++++++++++++%3cMaps+%2f%3e%0d%0a++++++++++++++%3c%2fTD%3e%0d%0a++++++++++++++%3cTD%3e%0d%0a++++++++++++++++%3cPSCFormated%3efalse%3c%2fPSCFormated%3e%0d%0a++++++++++++++++%3cStyle%3eClass5%3c%2fStyle%3e%0d%0a++++++++++++++++%3cMerge%3eFalse%3c%2fMerge%3e%0d%0a++++++++++++++++%3cRowSpan+%2f%3e%0d%0a++++++++++++++++%3cColSpan+%2f%3e%0d%0a++++++++++++++++%3cFormat%3eGeneral%3c%2fFormat%3e%0d%0a++++++++++++++++%3cWidth%3e55.5%3c%2fWidth%3e%0d%0a++++++++++++++++%3cText%3eFORECAST%3c%2fText%3e%0d%0a++++++++++++++++%3cHeight%3e11.25%3c%2fHeight%3e%0d%0a++++++++++++++++%3cAlign%3eLeft%3c%2fAlign%3e%0d%0a++++++++++++++++%3cVerticalAlign+%2f%3e%0d%0a++++++++++++++++%3cCellHasFormula%3eFalse%3c%2fCellHasFormula%3e%0d%0a++++++++++++++++%3cFontName%3eArial%3c%2fFontName%3e%0d%0a++++++++++++++++%3cWrapText%3eFalse%3c%2fWrapText%3e%0d%0a++++++++++++++++%3cFontSize%3e8%3c%2fFontSize%3e%0d%0a++++++++++++++++%3cX%3e21%3c%2fX%3e%0d%0a++++++++++++++++%3cY%3e3%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7%3c%2fStyle%3e%0d%0a++++++++++++++++%3cMerge%3eFalse%3c%2fMerge%3e%0d%0a++++++++++++++++%3cRowSpan+%2f%3e%0d%0a++++++++++++++++%3cColSpan+%2f%3e%0d%0a++++++++++++++++%3cFormat%3eGeneral%3c%2fFormat%3e%0d%0a++++++++++++++++%3cWidth%3e50.25%3c%2fWidth%3e%0d%0a++++++++++++++++%3cText%3eAircraft+%3a%3c%2fText%3e%0d%0a+++++++++++++</t>
  </si>
  <si>
    <t xml:space="preserve"> +++%3cHeight%3e11.25%3c%2fHeight%3e%0d%0a++++++++++++++++%3cAlign%3eLeft%3c%2fAlign%3e%0d%0a++++++++++++++++%3cVerticalAlign+%2f%3e%0d%0a++++++++++++++++%3cCellHasFormula%3eFalse%3c%2fCellHasFormula%3e%0d%0a++++++++++++++++%3cFontName%3eArial%3c%2fFontName%3e%0d%0a++++++++++++++++%3cWrapText%3eFalse%3c%2fWrapText%3e%0d%0a++++++++++++++++%3cFontSize%3e8%3c%2fFontSize%3e%0d%0a++++++++++++++++%3cX%3e1%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4%3c%2fY%3e%0d%0a++++++++++++++++%3cImages+%2f%3e%0d%0a++++++++++++++++%3cFormControls+%2f%3e%0d%0a++++++++++++++++%3cGrid+%2f%3e%0d%0a++++++++++++++++%3cExportPage+%2f%3e%0d%0a++++++++++++++++%3cExportRange+%2f%3e%0d%0a++++++++++++++++%3cMaps+%2f%3e%0d%0a++++++++++++++%3c%2fTD%3e%0d%0a++++++++++++++%3cTD%3e%0d%0a++++++++++++++++%3cPSCFormated%3efalse%3c%2fPSCFormated%3e%0d%0a++++++++++++++++%3cStyle%3eClass8%3c%2fStyle%3e%0d%0a++++++++++++++++%3cMerge%3eFalse%3c%2fMerge%3e%0d%0a++++++++++++++++%3cRowSpan+%2f%3e%0d%0a++++++++++++++++%3cColSpan+%2f%3e%0d%0a++++++++++++++++%3cFormat%3eGeneral%3c%2fFormat%3e%0d%0a++++++++++++++++%3cWidth%3e56.25%3c%2fWidth%3e%0d%0a++++++++++++++++%3cText%3eEngine+%3a%3c%2fText%3e%0d%0a++++++++++++++++%3cHeight%3e11.25%3c%2fHeight%3e%0d%0a++++++++++++++++%3cAlign%3eLeft%3c%2fAlign%3e%0d%0a++++++++++++++++%3cVerticalAlign+%2f%3e%0d%0a++++++++++++++++%3cCellHasFormula%3eFalse%3c%2fCellHasFormula%3e%0d%0a++++++++++++++++%3cFontName%3eArial%3c%2fFontName%3e%0d%0a++++++++++++++++%3cWrapText%3eFalse%3c%2fWrapText%3e%0d%0a++++++++++++++++%3cFontSize%3e8%3c%2fFontSize%3e%0d%0a++++++++++++++++%3cX%3e3%3c%2fX%3e%0d%0a++++++++++++++++%3cY%3e4%3c%2fY%3e%0d%0a++++++++++++++++%3cImages+%2f%3e%0d%0a++++++++++++++++%3cFormControls+%2f%3e%0d%0a++++++++++++++++%3cGrid+%2f%3e%0d%0a++++++++++++++++%3cExportPage+%2f%3e%0d%0a++++++++++++++++%3cExportRange+%2f%3e%0d%0a++++++++++++++++%3cMaps+%2f%3e%0d%0a++++++++++++++%3c%2fTD%3e%0d%0a++++++++++++++%3cTD%3e%0d%0a++++++++++++++++%3cPSCFormated%3efalse%3c%2fPSCFormated%3e%0d%0a++++++++++++++++%3cStyle%3eClass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4%3c%2fY%3e%0d%0a++++++++++++++++%3cImages+%2f%3e%0d%0a++++++++++++++++%3cFormControls+%2f%3e%0d%0a++++++++++++++++%3cGrid+%2f%3e%0d%0a++++++++++++++++%3cExportPage+%2f%3e%0d%0a++++++++++++++++%3cExportRange+%2f%3e%0d%0a++++++++++++++++%3cMaps+%2f%3e%0d%0a++++++++++++++%3c%2fTD%3e%0d%0a++++++++++++++%3cTD%3e%0d%0a++++++++++++++++%3cPSCFormated%3efalse%3c%2fPSCFormated%3e%0d%0a++++++++++++++++%3cStyle%3eClass10%3c%2fStyle%3e%0d%0a++++++++++++++++%3cMerge%3eFalse%3c%2fMerge%3e%0d%0a++++++++++++++++%3cRowSpan+%2f%3e%0d%0a++++++++++++++++%3cColSpan+%2f%3e%0d%0a++++++++++++++++%3cFormat%3eGeneral%3c%2fFormat%3e%0d%0a++++++++++++++++%3cWidth%3e51%3c%2fWidth%3e%0d%0a++++++++++++++++%3cText%3eAnnual+FH+%3a%3c%2fText%3e%0d%0a++++++++++++++++%3cHeight%3e11.25%3c%2fHeight%3e%0d%0a++++++++++++++++%3cAlign%3eLeft%3c%2fAlign%3e%0d%0a++++++++++++++++%3cVerticalAlign+%2f%3e%0d%0a++++++++++++++++%3cCellHasFormula%3eFalse%3c%2fCellHasFormula%3e%0d%0a++++++++++++++++%3cFontName%3eArial%3c%2fFontName%3e%0d%0a++++++++++++++++%3cWrapText%3eFalse%3c%2fWrapText%3e%0d%0a++++++++++++++++%3cFontSize%3e8%3c%2fFontSize%3e%0d%0a++++++++++++++++%3cX%3e9%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4%3c%2fY%3e%0d%0a++++++++++++++++%3cImages+%2f%3e%0d%0a++++++++++++++++%3cFormControls+%2f%3e%0d%0a++++++++++++++++%3cGrid+%2f%3e%0d%0a++++++++++++++++%3cExportPage+%2f%3e%0d%0a++++++++++++++++%3cExportRange+%2f%3e%0d%0a++++++++++++++++%3cMaps+%2f%3e%0d%0a++++++++++++++%3c%2fTD%3e%0d%0a++++++++++++++%3cTD%3e%0d%0a++++++++++++++++%3cPSCFormated%3efalse%3c%2fPSCFormated%3e%0d%0a++++++++++++++++%3cStyle%3eClass10%3c%2fStyle%3e%0d%0a++++++++++++++++%3cMerge%3eFalse%3c%2fMerge%3e%0d%0a++++++++++++++++%3cRowSpan+%2f%3e%0d%0a++++++++++++++++%3cColSpan+%2f%3e%0d%0a++++++++++++++++%3cFormat%3eGeneral%3c%2fFormat%3e%0d%0a++++++++++++++++%3cWidth%3e51%3c%2fWidth%3e%0d%0a++++++++++++++++%3cText%3eFlight+Leg+%3a%3c%2fText%3e%0d%0a++++++++++++++++%3cHeight%3e11.25%3c%2fHeight%3e%0d%0a++++++++++++++++%3cAlign%3eLeft%3c%2fAlign%3e%0d%0a++++++++++++++++%3cVerticalAlign+%2f%3e%0d%0a++++++++++++++++%3cCellHasFormula%3eFalse%3c%2fCellHasFormula%3e%0d%0a++++++++++++++++%3cFontName%3eArial%3c%2fFontName%3e%0d%0a++++++++++++++++%3cWrapText%3eFalse%3c%2fWrapText%3e%0d%0a++++++++++++++++%3cFontSize%3e8%3c%2fFontSize%3e%0d%0a++++++++++++++++%3cX%3e11%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4%3c%2fY%3e%0d%0a++++++++++++++++%3cImages+%2f%3e%0d%0a++++++++++++++++%3cFormControls+%2f%3e%0d%0a++++++++++++++++%3cGrid+%2f%3e%0d%0a++++++++++++++++%3cExportPage+%2f%3e%0d%0a++++++++++++++++%3cExportRange+%2f%3e%0d%0a++++++++++++++++%3cMaps+%2f%3e%0d%0a++++++++++++++%3c%2fTD%3e%0d%0a++++++++++++++%3cTD%3e%0d%0a++++++++++++++++%3cPSCFormated%3efalse%3c%2fPSCFormated%3e%0d%0a++++++++++++++++%3cStyle%3eClass10%3c%2fStyle%3e%0d%0a++++++++++++++++%3cMerge%3eFalse%3c%2fMerge%3e%0d%0a++++++++++++++++%3cRowSpan+%2f%3e%0d%0a++++++++++++++++%3cColSpan+%2f%3e%0d%0a++++++++++++++++%3cFormat%3eGeneral%3c%2fFormat%3e%0d%0a++++++++++++++++%3cWidth%3e51%3c%2fWidth%3e%0d%0a++++++++++++++++%3cText%3eEng+Derate+%3a%3c%2fText%3e%0d%0a++++++++++++++++%3cHeight%3e11.25%3c%2fHeight%3e%0d%0a++++++++++++++++%3cAlign%3eLeft%3c%2fAlign%3e%0d%0a++++++++++++++++%3cVerticalAlign+%2f%3e%0d%0a++++++++++++++++%3cCellHasFormula%3eFalse%3c%2fCellHasFormula%3e%0d%0a++++++++++++++++%3cFontName%3eArial%3c%2fFontName%3e%0d%0a++++++++++++++++%3cWrapText%3eFalse%3c%2fWrapText%3e%0d%0a++++++++++++++++%3cFontSize%3e8%3c%2fFontSize%3e%0d%0a++++++++++++++++%3cX%3e13%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4%3c%2fY%3e%0d%0a++++++++++++++++%3cImages+%2f%3e%0d%0a++++++++++++++++%3cFormControls+%2f%3e%0d%0a++++++++++++++++%3cGrid+%2f%3e%0d%0a++++++++++++++++%3cExportPage+%2f%3e%0d%0a++++++++++++++++%3cExportRange+%2f%3e%0d%0a++++++++++++++++%3cMaps+%2f%3e%0d%0a++++++++++++++%3c%2fTD%3e%0d%0a++++++++++++++%3cTD%3e%0d%0a++++++++++++++++%3cPSCFormated%3efalse%3c%2fPSCFormated%3e%0d%0a++++++++++++++++%3cStyle%3eClass10%3c%2fStyle%3e%0d%0a++++++++++++++++%3cMerge%3eFalse%3c%2fMerge%3e%0d%0a++++++++++++++++%3cRowSpan+%2f%3e%0d%0a++++++++++++++++%3cColSpan+%2f%3e%0d%0a++++++++++++++++%3cFormat%3eGeneral%3c%2fFormat%3e%0d%0a++++++++++++++++%3cWidth%3e45.75%3c%2fWidth%3e%0d%0a++++++++++++++++%3cText%3eRegion+%3a%3c%2fText%3e%0d%0a++++++++++++++++%3cHeight%3e11.25%3c%2fHeight%3e%0d%0a++++++++++++++++%3cAlign%3eLeft%3c%2fAlign%3e%0d%0a++++++++++++++++%3cVerticalAlign+%2f%3e%0d%0a++++++++++++++++%3cCellHasFormula%3eFalse%3c%2fCellHasFormula%3e%0d%0a++++++++++++++++%3cFontName%3eArial%3c%2fFontName%3e%0d%0a++++++++++++++++%3cWrapText%3eFalse%3c%2fWrapText%3e%0d%0a++++++++++++++++%3cFontSize%3e8%3c%2fFontSize%3e%0d%0a++++++++++++++++%3cX%3e15%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4%3c%2fY%3e%0d%0a++++++++++++++++%3cImages+%2f%3e%0d%0a++++++++++++++++%3cFormControls+%2f%3e%0d%0a++++++++++++++++%3cGrid+%2f%3e%0d%0a++++++++++++++++%3cExportPage+%2f%3e%0d%0a++++++++++++++++%3cExportRange+%2f%3e%0d%0a++++++++++++++++%3cMaps+%2f%3e%0d%0a++++++++++++++%3c%2fTD%3e%0d%0a++++++++++++++%3cTD%3e%0d%0a++++++++++++++++%3cPSCFormated%3efalse%3c%2fPSCFormated%3e%0d%0a++++++++++++++++%3cStyle%3eClass10%3c%2fStyle%3e%0d%0a++++++++++++++++%3cMerge%3eFalse%3c%2fMerge%3e%0d%0a++++++++++++++++%3cRowSpan+%2f%3e%0d%0a++++++++++++++++%3cColSpan+%2f%3e%0d%0a++++++++++++++++%3cFormat%3eGeneral%3c%2fFormat%3e%0d%0a++++++++++++++++%3cWidth%3e51%3c%2fWidth%3e%0d%0a++++++++++++++++%3cText%3eEngine++FC+%3a%3c%2fText%3e%0d%0a++++++++++++++++%3cHeight%3e11.25%3c%2fHeight%3e%0d%0a++++++++++++++++%3cAlign%3eLeft%3c%2fAlign%3e%0d%0a++++++++++++++++%3cVerticalAlign+%2f%3e%0d%0a++++++++++++++++%3cCellHasFormula%3eFalse%3c%2fCellHasFormula%3e%0d%0a++++++++++++++++%3cFontName%3eArial%3c%2fFontName%3e%0d%0a++++++++++++++++%3cWrapText%3eFalse%3c%2fWrapText%3e%0d%0a++++++++++++++++%3cFontSize%3e8%3c%2fFontSize%3e%0d%0a++++++++++++++++%3cX%3e19%3c%2fX%3e%0d%0a++++++++++++++++%3cY%3e4%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4%3c%2fY%3e%0d%0a++++++++++++++++%3cImages+%2f%3e%0d%0a++++++++++++++++%3cFormControls+%2f%3e%0d%0a++++++++++++++++%3cGrid+%2f%3e%0d%0a++++++++++++++++%3cExportPage+%2f%3e%0d%0a++++++++++++++++%3cExportRange+%2f%3e%0d%0a++++++++++++++++%3cMaps+%2f%3e%0d%0a++++++++++++++%3c%2fTD%3e%0d%0a++++++++++++++%3cTD%3e%0d%0a++++++++++++++++%3cPSCFormated%3efalse%3c%2fPSCFormated%3e%0d%0a++++++++++++++++%3cStyle%3eClass11%3c%2fStyle%3e%0d%0a++++++++++++++++%3cMerge%3eFalse%3c%2fMerge%3e%0d%0a++++++++++++++++%3cRowSpan+%2f%3e%0d%0a++++++++++++++++%3cColSpan+%2f%3e%0d%0a++++++++++++++++%3cFormat%3eGeneral%3c%2fFormat%3e%0d%0a++++++++++++++++%3cWidth%3e55.5%3c%2fWidth%3e%0d%0a++++++++++++++++%3cText%3eTerm+Months+%3a%3c%2fText%3e%0d%0a++++++++++++++++%3cHeight%3e11.25%3c%2fHeight%3e%0d%0a++++++++++++++++%3cAlign%3eLeft%3c%2fAlign%3e%0d%0a++++++++++++++++%3cVerticalAlign+%2f%3e%0d%0a++++++++++++++++%3cCellHasFormula%3eFalse%3c%2fCellHasFormula%3e%0d%0a++++++++++++++++%3cFontName%3eArial%3c%2fFontName%3e%0d%0a++++++++++++++++%3cWrapText%3eFalse%3c%2fWrapText%3e%0d%0a++++++++++++++++%3cFontSize%3e8%3c%2fFontSize%3e%0d%0a++++++++++++++++%3cX%3e21%3c%2fX%3e%0d%0a++++++++++++++++%3cY%3e4%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12%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5%3c%2fY%3e%0d%0a++++++++++++++++%3cInputCell%3e%0d%0a++++++++++++++++++%3cAddress%3e%3d'Mx+FORECAST'!%24B%246%3c%2fAddress%3e%0d%0a++++++++++++++++++%3cListItemsAddress%3e%3d'Mx+FORECAST'!%24AK%2412%3a%24AK%2415%3c%2fListItemsAddress%3e%0d%0a++++++++++++++++++%3cType%3e4%3c%2fType%3e%0d%0a++++++++++++++++++%3cNameIndex%3e0%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A320-200%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X%2410%3a%24X%2413%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13%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5%3c%2fY%3e%0d%0a++++++++++++++++%3cInputCell%3e%0d%0a++++++++++++++++++%3cAddress%3e%3d'Mx+FORECAST'!%24D%246%3c%2fAddress%3e%0d%0a++++++++++++++++++%3cListItemsAddress%3e%3d'Mx+FORECAST'!%24AL%2412%3a%24AL%2421%3c%2fListItemsAddress%3e%0d%0a++++++++++++++++++%3cType%3e4%3c%2fType%3e%0d%0a++++++++++++++++++%3cNameIndex%3e1%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CFM56-5B4%2fP%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Y%2410%3a%24Y%2418%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15%3c%2fStyle%3e%0d%0a++++++++++++++++%3cMerge%3eFalse%3c%2fMerge%3e%0d%0a++++++++++++++++%3cRowSpan+%2f%3e%0d%0a++++++++++++++++%3cColSpan+%2f%3e%0d%0a++++++++++++++++%3cFormat%3eGeneral%3c%2fFormat%3e%0d%0a++++++++++++++++%3cWidth%3e13.5%3c%2fWidth%3e%0d%0a++++++++++++++++%3cText+%2f%3e%0d%0a++++++++++++++++%3cHeight%3e11.25%3c%2fHeight%3e%0d%0a++++++++++++++++%3cAlign%3eLeft%3c%2fAlign%3e%0d%0a++++++++++++++++%3cVerticalAlign+%2f%3e%0d%0a++++++++++++++++%3cCellHasFormula%3eFalse%</t>
  </si>
  <si>
    <t xml:space="preserve"> 3c%2fCellHasFormula%3e%0d%0a++++++++++++++++%3cFontName%3eArial%3c%2fFontName%3e%0d%0a++++++++++++++++%3cWrapText%3eFalse%3c%2fWrapText%3e%0d%0a++++++++++++++++%3cFontSize%3e8%3c%2fFontSize%3e%0d%0a++++++++++++++++%3cX%3e4%3c%2fX%3e%0d%0a++++++++++++++++%3cY%3e5%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5%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5%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5%3c%2fY%3e%0d%0a++++++++++++++++%3cImages+%2f%3e%0d%0a++++++++++++++++%3cFormControls+%2f%3e%0d%0a++++++++++++++++%3cGrid+%2f%3e%0d%0a++++++++++++++++%3cExportPage+%2f%3e%0d%0a++++++++++++++++%3cExportRange+%2f%3e%0d%0a++++++++++++++++%3cMaps+%2f%3e%0d%0a++++++++++++++%3c%2fTD%3e%0d%0a++++++++++++++%3cTD%3e%0d%0a++++++++++++++++%3cPSCFormated%3efalse%3c%2fPSCFormated%3e%0d%0a++++++++++++++++%3cStyle%3eClass16%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23%2c%23%230%3c%2fFormat%3e%0d%0a++++++++++++++++%3cWidth%3e51%3c%2fWidth%3e%0d%0a++++++++++++++++%3cText%3e3%2c000%3c%2fText%3e%0d%0a++++++++++++++++%3cHeight%3e11.25%3c%2fHeight%3e%0d%0a++++++++++++++++%3cAlign%3eLeft%3c%2fAlign%3e%0d%0a++++++++++++++++%3cVerticalAlign+%2f%3e%0d%0a++++++++++++++++%3cCellHasFormula%3eFalse%3c%2fCellHasFormula%3e%0d%0a++++++++++++++++%3cFontName%3eArial%3c%2fFontName%3e%0d%0a++++++++++++++++%3cWrapText%3eFalse%3c%2fWrapText%3e%0d%0a++++++++++++++++%3cFontSize%3e8%3c%2fFontSize%3e%0d%0a++++++++++++++++%3cX%3e9%3c%2fX%3e%0d%0a++++++++++++++++%3cY%3e5%3c%2fY%3e%0d%0a++++++++++++++++%3cImages+%2f%3e%0d%0a++++++++++++++++%3cFormControls+%2f%3e%0d%0a++++++++++++++++%3cGrid+%2f%3e%0d%0a++++++++++++++++%3cExportPage+%2f%3e%0d%0a++++++++++++++++%3cExportRange+%2f%3e%0d%0a++++++++++++++++%3cValidation%3e%0d%0a++++++++++++++++++%3cAlertStyle%3exlValidAlertStop%3c%2fAlertStyle%3e%0d%0a++++++++++++++++++%3cErrorMessage%3e2%2c000+-+4%2c000+flight+hours.%3c%2fErrorMessage%3e%0d%0a++++++++++++++++++%3cErrorTitle%3eFlight+Hour+Range%3c%2fErrorTitle%3e%0d%0a++++++++++++++++++%3cFormula1%3e1500%3c%2fFormula1%3e%0d%0a++++++++++++++++++%3cFormula2%3e4500%3c%2fFormula2%3e%0d%0a++++++++++++++++++%3cIgnoreBlank%3etrue%3c%2fIgnoreBlank%3e%0d%0a++++++++++++++++++%3cOperator%3eBetween%3c%2fOperator%3e%0d%0a++++++++++++++++++%3cShowError%3etrue%3c%2fShowError%3e%0d%0a++++++++++++++++++%3cType%3exlValidateWholeNumber%3c%2fType%3e%0d%0a++++++++++++++++++%3cValue%3etrue%3c%2fValue%3e%0d%0a++++++++++++++++%3c%2fValidation%3e%0d%0a++++++++++++++++%3cMaps+%2f%3e%0d%0a++++++++++++++%3c%2fTD%3e%0d%0a++++++++++++++%3cTD%3e%0d%0a++++++++++++++++%3cPSCFormated%3efalse%3c%2fPSCFormated%3e%0d%0a++++++++++++++++%3cStyle%3eClass17%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0.0%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5%3c%2fY%3e%0d%0a++++++++++++++++%3cInputCell%3e%0d%0a++++++++++++++++++%3cAddress%3e%3d'Mx+FORECAST'!%24L%246%3c%2fAddress%3e%0d%0a++++++++++++++++++%3cListItemsAddress%3e%3d'Mx+FORECAST'!%24AZ%2412%3a%24AZ%2452%3c%2fListItemsAddress%3e%0d%0a++++++++++++++++++%3cType%3e4%3c%2fType%3e%0d%0a++++++++++++++++++%3cNameIndex%3e2%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2.0%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AD%2410%3a%24AD%2450%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17%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0%25%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5%3c%2fY%3e%0d%0a++++++++++++++++%3cInputCell%3e%0d%0a++++++++++++++++++%3cAddress%3e%3d'Mx+FORECAST'!%24N%246%3c%2fAddress%3e%0d%0a++++++++++++++++++%3cListItemsAddress%3e%3d'Mx+FORECAST'!%24AW%2412%3a%24AW%2437%3c%2fListItemsAddress%3e%0d%0a++++++++++++++++++%3cType%3e4%3c%2fType%3e%0d%0a++++++++++++++++++%3cNameIndex%3e3%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10%25%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AE%2410%3a%24AE%2435%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18%3c%2fStyle%3e%0d%0a++++++++++++++++%3cMerge%3eFalse%3c%2fMerge%3e%0d%0a++++++++++++++++%3cRowSpan+%2f%3e%0d%0a++++++++++++++++%3cColSpan+%2f%3e%0d%0a++++++++++++++++%3cFormat%3e0.0%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5%3c%2fY%3e%0d%0a++++++++++++++++%3cInputCell%3e%0d%0a++++++++++++++++++%3cAddress%3e%3d'Mx+FORECAST'!%24P%246%3c%2fAddress%3e%0d%0a++++++++++++++++++%3cListItemsAddress%3e%3d'Mx+FORECAST'!%24AU%2412%3a%24AU%2414%3c%2fListItemsAddress%3e%0d%0a++++++++++++++++++%3cType%3e4%3c%2fType%3e%0d%0a++++++++++++++++++%3cNameIndex%3e4%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Temperate%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AF%2410%3a%24AF%2412%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15%3c%2fStyle%3e%0d%0a++++++++++++++++%3cMerge%3eFalse%3c%2fMerge%3e%0d%0a++++++++++++++++%3cRowSpan+%2f%3e%0d%0a++++++++++++++++%3cColSpan+%2f%3e%0d%0a++++++++++++++++%3cFormat%3e%23%2c%23%230%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5%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5%3c%2fY%3e%0d%0a++++++++++++++++%3cImages+%2f%3e%0d%0a++++++++++++++++%3cFormControls+%2f%3e%0d%0a++++++++++++++++%3cGrid+%2f%3e%0d%0a++++++++++++++++%3cExportPage+%2f%3e%0d%0a++++++++++++++++%3cExportRange+%2f%3e%0d%0a++++++++++++++++%3cMaps+%2f%3e%0d%0a++++++++++++++%3c%2fTD%3e%0d%0a++++++++++++++%3cTD%3e%0d%0a++++++++++++++++%3cPSCFormated%3efalse%3c%2fPSCFormated%3e%0d%0a++++++++++++++++%3cStyle%3eClass16%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5%3c%2fY%3e%0d%0a++++++++++++++++%3cImages+%2f%3e%0d%0a++++++++++++++++%3cFormControls+%2f%3e%0d%0a++++++++++++++++%3cGrid+%2f%3e%0d%0a++++++++++++++++%3cExportPage+%2f%3e%0d%0a++++++++++++++++%3cExportRange+%2f%3e%0d%0a++++++++++++++++%3cMaps+%2f%3e%0d%0a++++++++++++++%3c%2fTD%3e%0d%0a++++++++++++++%3cTD%3e%0d%0a++++++++++++++++%3cPSCFormated%3efalse%3c%2fPSCFormated%3e%0d%0a++++++++++++++++%3cStyle%3eClass14%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5%3c%2fY%3e%0d%0a++++++++++++++++%3cInputCell%3e%0d%0a++++++++++++++++++%3cAddress%3e%3d'Mx+FORECAST'!%24T%246%3c%2fAddress%3e%0d%0a++++++++++++++++++%3cListItemsAddress%3e%3d'Mx+FORECAST'!%24AT%2412%3a%24AT%2420%3c%2fListItemsAddress%3e%0d%0a++++++++++++++++++%3cType%3e4%3c%2fType%3e%0d%0a++++++++++++++++++%3cNameIndex%3e5%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7%2c000%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AG%2410%3a%24AG%2418%3c%2fFormula1%3e%0d%0a++++++++++++++++++%3cFormula2+%2f%3e%0d%0a++++++++++++++++++%3cIgnoreBlank%3etrue%3c%2fIgnoreBlank%3e%0d%0a++++++++++++++++++%3cOperator%3eBetween%3c%2fOperator%3e%0d%0a++++++++++++++++++%3cShowError%3etrue%3c%2fShowError%3e%0d%0a++++++++++++++++++%3cType%3exlValidateList%3c%2fType%3e%0d%0a++++++++++++++++++%3cValue%3efalse%3c%2fValue%3e%0d%0a++++++++++++++++%3c%2fValidation%3e%0d%0a++++++++++++++++%3cMaps+%2f%3e%0d%0a++++++++++++++%3c%2fTD%3e%0d%0a++++++++++++++%3cTD%3e%0d%0a++++++++++++++++%3cPSCFormated%3efalse%3c%2fPSCFormated%3e%0d%0a++++++++++++++++%3cStyle%3eClass19%3c%2fStyle%3e%0d%0a++++++++++++++++%3cMerge%3eFalse%3c%2fMerge%3e%0d%0a++++++++++++++++%3cRowSpan+%2f%3e%0d%0a++++++++++++++++%3cColSpan+%2f%3e%0d%0a++++++++++++++++%3cFormat%3e%23%2c%23%230%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5%3c%2fY%3e%0d%0a++++++++++++++++%3cImages+%2f%3e%0d%0a++++++++++++++++%3cFormControls+%2f%3e%0d%0a++++++++++++++++%3cGrid+%2f%3e%0d%0a++++++++++++++++%3cExportPage+%2f%3e%0d%0a++++++++++++++++%3cExportRange+%2f%3e%0d%0a++++++++++++++++%3cMaps+%2f%3e%0d%0a++++++++++++++%3c%2fTD%3e%0d%0a++++++++++++++%3cTD%3e%0d%0a++++++++++++++++%3cPSCFormated%3efalse%3c%2fPSCFormated%3e%0d%0a++++++++++++++++%3cStyle%3eClass20%3c%2fStyle%3e%0d%0a++++++++++++++++%3cMerge%3eFalse%3c%2fMerge%3e%0d%0a++++++++++++++++%3cRowSpan+%2f%3e%0d%0a++++++++++++++++%3cColSpan+%2f%3e%0d%0a++++++++++++++++%3cFormat%3e%23%2c%23%230%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5%3c%2fY%3e%0d%0a++++++++++++++++%3cInputCell%3e%0d%0a++++++++++++++++++%3cAddress%3e%3d'Mx+FORECAST'!%24V%246%3c%2fAddress%3e%0d%0a++++++++++++++++++%3cListItemsAddress%3e%3d'Mx+FORECAST'!%24AS%2412%3a%24AS%2427%3c%2fListItemsAddress%3e%0d%0a++++++++++++++++++%3cType%3e4%3c%2fType%3e%0d%0a++++++++++++++++++%3cNameIndex%3e6%3c%2fNameIndex%3e%0d%0a++++++++++++++++++%3cIsHidingEnabled%3efalse%3c%2fIsHidingEnabled%3e%0d%0a++++++++++++++++++%3cIsDisablingEnabled%3efalse%3c%2fIsDisablingEnabled%3e%0d%0a++++++++++++++++++%3cRequiresValidation%3efalse%3c%2fRequiresValidation%3e%0d%0a++++++++++++++++++%3cNumberFormatting%3efalse%3c%2fNumberFormatting%3e%0d%0a++++++++++++++++++%3cIsRequired%3efalse%3c%2fIsRequired%3e%0d%0a++++++++++++++++++%3cTypeName%3eList+Box%3c%2fTypeName%3e%0d%0a++++++++++++++++++%3cDefaultValue%3e240%3c%2fDefaultValue%3e%0d%0a++++++++++++++++++%3cValueType%3eSystem.String%3c%2fValueType%3e%0d%0a++++++++++++++++++%3cGroupSizes%3e0%3c%2fGroupSizes%3e%0d%0a++++++++++++++++++%3cGroupSeparator+%2f%3e%0d%0a++++++++++++++++++%3cDecimalDigits%3e0%3c%2fDecimalDigits%3e%0d%0a++++++++++++++++++%3cDecimalSeparator+%2f%3e%0d%0a++++++++++++++++++%3cNegativePattern+%2f%3e%0d%0a++++++++++++++++++%3cPositivePattern+%2f%3e%0d%0a++++++++++++++++++%3cAllowRounding%3efalse%3c%2fAllowRounding%3e%0d%0a++++++++++++++++++%3cTextFormat%3eNumber%3c%2fTextFormat%3e%0d%0a++++++++++++++++++%3cListValues+%2f%3e%0d%0a++++++++++++++++++%3cIsControlEnabled%3efalse%3c%2fIsControlEnabled%3e%0d%0a++++++++++++++++++%3cIsControlVisible%3efalse%3c%2fIsControlVisible%3e%0d%0a++++++++++++++++++%3cGridValues+%2f%3e%0d%0a++++++++++++++++%3c%2fInputCell%3e%0d%0a++++++++++++++++%3cImages+%2f%3e%0d%0a++++++++++++++++%3cFormControls+%2f%3e%0d%0a++++++++++++++++%3cGrid+%2f%3e%0d%0a++++++++++++++++%3cExportPage+%2f%3e%0d%0a++++++++++++++++%3cExportRange+%2f%3e%0d%0a++++++++++++++++%3cValidation%3e%0d%0a++++++++++++++++++%3cAlertStyle%3exlValidAlertStop%3c%2fAlertStyle%3e%0d%0a++++++++++++++++++%3cFormula1%3e%3d%24AH%2410%3a%24AH%2425%3c%2fFormula1%3e%0d%0a++++++++++++++++++%3cFormula2+%2f%3e%0d%0a++++++++++++++++++%3cIgnoreBlank%3etrue%3c%2fIgnoreBlank%3e%0d%0a++++++++++++++++++%3cOperator%3eBetween%3c%2fOperator%3e%0d%0a++++++++++++++++++%3cShowError%3etrue%3c%2fShowError%3e%0d%0a++++++++++++++++++%3cType%3exlValidateList%3c%2fType%3e%0d%0a++++++++++++++++++%3cValue%3etrue%3c%2fValue%3e%0d%0a++++++++++++++++%3c%2fValidation%3e%0d%0a++++++++++++++++%3cMaps+%2f%3e%0d%0a++++++++++++++%3c%2fTD%3e%0d%0a++++++++++++%3c%2fTDs%3e%0d%0a++++++++++++%3cIsRowVisible%3etrue%3c%2fIsRowVisible%3e%0d%0a++++++++++%3c%2fTR%3e%0d%0a++++++++++%3cTR%3e%0d%0a++++++++++++%3cTDs%3e%0d%0a++++++++++++++%3cTD%3e%0d%0a++++++++++++++++%3cPSCFormated%3efalse%3c%2fPSCFormated%3e%0d%0a++++++++++++++++%3cStyle%3eClass21%3c%2fStyle%3e%0d%0a++++++++++++++++%3cMerge%3eFalse%3c%2fMerge%3e%0d%0a++++++++++++++++%3cRowSpan+%2f%3e%0d%0a++++++++++++++++%3cColSpan+%2f%3e%0d%0a++++++++++++++++%3cFormat%3eGeneral%3c%2fFormat%3e%0d%0a++++++++++++++++%3cWidth%3e50.25%3c%2fWidth%3e%0d%0a++++++++++++++++%3cText+%2f%3e%0d%0a++++++++++++++++%3c</t>
  </si>
  <si>
    <t xml:space="preserve"> Height%3e11.25%3c%2fHeight%3e%0d%0a++++++++++++++++%3cAlign%3eLeft%3c%2fAlign%3e%0d%0a++++++++++++++++%3cVerticalAlign+%2f%3e%0d%0a++++++++++++++++%3cCellHasFormula%3eFalse%3c%2fCellHasFormula%3e%0d%0a++++++++++++++++%3cFontName%3eCalibri%3c%2fFontName%3e%0d%0a++++++++++++++++%3cWrapText%3eFalse%3c%2fWrapText%3e%0d%0a++++++++++++++++%3cFontSize%3e8%3c%2fFontSize%3e%0d%0a++++++++++++++++%3cX%3e1%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2%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4%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Calibri%3c%2fFontName%3e%0d%0a++++++++++++++++%3cWrapText%3eFalse%3c%2fWrapText%3e%0d%0a++++++++++++++++%3cFontSize%3e8%3c%2fFontSize%3e%0d%0a++++++++++++++++%3cX%3e5%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9%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11%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13%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Calibri%3c%2fFontName%3e%0d%0a++++++++++++++++%3cWrapText%3eFalse%3c%2fWrapText%3e%0d%0a++++++++++++++++%3cFontSize%3e8%3c%2fFontSize%3e%0d%0a++++++++++++++++%3cX%3e15%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Calibri%3c%2fFontName%3e%0d%0a++++++++++++++++%3cWrapText%3eFalse%3c%2fWrapText%3e%0d%0a++++++++++++++++%3cFontSize%3e8%3c%2fFontSize%3e%0d%0a++++++++++++++++%3cX%3e16%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18%3c%2fX%3e%0d%0a++++++++++++++++%3cY%3e6%3c%2fY%3e%0d%0a++++++++++++++++%3cImages+%2f%3e%0d%0a++++++++++++++++%3cFormControls+%2f%3e%0d%0a++++++++++++++++%3cGrid+%2f%3e%0d%0a++++++++++++++++%3cExportPage+%2f%3e%0d%0a++++++++++++++++%3cExportRange+%2f%3e%0d%0a++++++++++++++++%3cMaps+%2f%3e%0d%0a++++++++++++++%3c%2fTD%3e%0d%0a++++++++++++++%3cTD%3e%0d%0a++++++++++++++++%3cPSCFormated%3efalse%3c%2fPSCFormated%3e%0d%0a++++++++++++++++%3cStyle%3eClass23%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6%3c%2fY%3e%0d%0a++++++++++++++++%3cImages+%2f%3e%0d%0a++++++++++++++++%3cFormControls+%2f%3e%0d%0a++++++++++++++++%3cGrid+%2f%3e%0d%0a++++++++++++++++%3cExportPage+%2f%3e%0d%0a++++++++++++++++%3cExportRange+%2f%3e%0d%0a++++++++++++++++%3cMaps+%2f%3e%0d%0a++++++++++++++%3c%2fTD%3e%0d%0a++++++++++++++%3cTD%3e%0d%0a++++++++++++++++%3cPSCFormated%3efalse%3c%2fPSCFormated%3e%0d%0a++++++++++++++++%3cStyle%3eClass22%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20%3c%2fX%3e%0d%0a++++++++++++++++%3cY%3e6%3c%2fY%3e%0d%0a++++++++++++++++%3cImages+%2f%3e%0d%0a++++++++++++++++%3cFormControls+%2f%3e%0d%0a++++++++++++++++%3cGrid+%2f%3e%0d%0a++++++++++++++++%3cExportPage+%2f%3e%0d%0a++++++++++++++++%3cExportRange+%2f%3e%0d%0a++++++++++++++++%3cMaps+%2f%3e%0d%0a++++++++++++++%3c%2fTD%3e%0d%0a++++++++++++++%3cTD%3e%0d%0a++++++++++++++++%3cPSCFormated%3efalse%3c%2fPSCFormated%3e%0d%0a++++++++++++++++%3cStyle%3eClass24%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6%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25%3c%2fStyle%3e%0d%0a++++++++++++++++%3cMerge%3eFalse%3c%2fMerge%3e%0d%0a++++++++++++++++%3cRowSpan+%2f%3e%0d%0a++++++++++++++++%3cColSpan+%2f%3e%0d%0a++++++++++++++++%3cFormat%3eGeneral%3c%2fFormat%3e%0d%0a++++++++++++++++%3cWidth%3e50.25%3c%2fWidth%3e%0d%0a++++++++++++++++%3cText%3e++MAINTENANCE+EVENT+COSTS+%26amp%3b+DMCs%3c%2fText%3e%0d%0a++++++++++++++++%3cHeight%3e11.25%3c%2fHeight%3e%0d%0a++++++++++++++++%3cAlign%3eLeft%3c%2fAlign%3e%0d%0a++++++++++++++++%3cVerticalAlign+%2f%3e%0d%0a++++++++++++++++%3cCellHasFormula%3eFalse%3c%2fCellHasFormula%3e%0d%0a++++++++++++++++%3cFontName%3eArial%3c%2fFontName%3e%0d%0a++++++++++++++++%3cWrapText%3eFalse%3c%2fWrapText%3e%0d%0a++++++++++++++++%3cFontSize%3e8%3c%2fFontSize%3e%0d%0a++++++++++++++++%3cX%3e1%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t>
  </si>
  <si>
    <t xml:space="preserve"> ++++++%3cAlign%3eLeft%3c%2fAlign%3e%0d%0a++++++++++++++++%3cVerticalAlign+%2f%3e%0d%0a++++++++++++++++%3cCellHasFormula%3eFalse%3c%2fCellHasFormula%3e%0d%0a++++++++++++++++%3cFontName%3eArial%3c%2fFontName%3e%0d%0a++++++++++++++++%3cWrapText%3eFalse%3c%2fWrapText%3e%0d%0a++++++++++++++++%3cFontSize%3e8%3c%2fFontSize%3e%0d%0a++++++++++++++++%3cX%3e8%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7%3c%2fY%3e%0d%0a++++++++++++++++%3cImages+%2f%3e%0d%0a++++++++++++++++%3cFormControls+%2f%3e%0d%0a++++++++++++++++%3cGrid+%2f%3e%0d%0a++++++++++++++++%3cExportPage+%2f%3e%0d%0a++++++++++++++++%3cExportRange+%2f%3e%0d%0a++++++++++++++++%3cMaps+%2f%3e%0d%0a++++++++++++++%3c%2fTD%3e%0d%0a++++++++++++++%3cTD%3e%0d%0a++++++++++++++++%3cPSCFormated%3efalse%3c%2fPSCFormated%3e%0d%0a++++++++++++++++%3cStyle%3eClass27%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7%3c%2fY%3e%0d%0a++++++++++++++++%3cImages+%2f%3e%0d%0a++++++++++++++++%3cFormControls+%2f%3e%0d%0a++++++++++++++++%3cGrid+%2f%3e%0d%0a++++++++++++++++%3cExportPage+%2f%3e%0d%0a++++++++++++++++%3cExportRange+%2f%3e%0d%0a++++++++++++++++%3cMaps+%2f%3e%0d%0a++++++++++++++%3c%2fTD%3e%0d%0a++++++++++++++%3cTD%3e%0d%0a++++++++++++++++%3cPSCFormated%3efalse%3c%2fPSCFormated%3e%0d%0a++++++++++++++++%3cStyle%3eClass25%3c%2fStyle%3e%0d%0a++++++++++++++++%3cMerge%3eFalse%3c%2fMerge%3e%0d%0a++++++++++++++++%3cRowSpan+%2f%3e%0d%0a++++++++++++++++%3cColSpan+%2f%3e%0d%0a++++++++++++++++%3cFormat%3eGeneral%3c%2fFormat%3e%0d%0a++++++++++++++++%3cWidth%3e51%3c%2fWidth%3e%0d%0a++++++++++++++++%3cText%3e++MAINTENANCE+STATUS%3c%2fText%3e%0d%0a++++++++++++++++%3cHeight%3e11.25%3c%2fHeight%3e%0d%0a++++++++++++++++%3cAlign%3eLeft%3c%2fAlign%3e%0d%0a++++++++++++++++%3cVerticalAlign+%2f%3e%0d%0a++++++++++++++++%3cCellHasFormula%3eFalse%3c%2fCellHasFormula%3e%0d%0a++++++++++++++++%3cFontName%3eArial%3c%2fFontName%3e%0d%0a++++++++++++++++%3cWrapText%3eFalse%3c%2fWrapText%3e%0d%0a++++++++++++++++%3cFontSize%3e8%3c%2fFontSize%3e%0d%0a++++++++++++++++%3cX%3e17%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7%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7%3c%2fY%3e%0d%0a++++++++++++++++%3cImages+%2f%3e%0d%0a++++++++++++++++%3cFormControls+%2f%3e%0d%0a++++++++++++++++%3cGrid+%2f%3e%0d%0a++++++++++++++++%3cExportPage+%2f%3e%0d%0a++++++++++++++++%3cExportRange+%2f%3e%0d%0a++++++++++++++++%3cMaps+%2f%3e%0d%0a++++++++++++++%3c%2fTD%3e%0d%0a++++++++++++++%3cTD%3e%0d%0a++++++++++++++++%3cPSCFormated%3efalse%3c%2fPSCFormated%3e%0d%0a++++++++++++++++%3cStyle%3eClass27%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7%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28%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45.75%3c%2fWidth%3e%0d%0a++++++++++++++++%3cText+%2f%3e%0d%0a++++++++++++++++%3cHeight%3e11.25%3c%2fHeight%3e%0d%0a++++++++++++++++%3cAlign%3eLeft%3c%2fAlign%3e%0d%0a++++++++++++++++%3cVerticalAlign+%2f%3e%0d%0a++++++++++++++++%3cC</t>
  </si>
  <si>
    <t xml:space="preserve"> ellHasFormula%3eFalse%3c%2fCellHasFormula%3e%0d%0a++++++++++++++++%3cFontName%3eArial%3c%2fFontName%3e%0d%0a++++++++++++++++%3cWrapText%3eFalse%3c%2fWrapText%3e%0d%0a++++++++++++++++%3cFontSize%3e8%3c%2fFontSize%3e%0d%0a++++++++++++++++%3cX%3e15%3c%2fX%3e%0d%0a++++++++++++++++%3cY%3e8%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8%3c%2fY%3e%0d%0a++++++++++++++++%3cImages+%2f%3e%0d%0a++++++++++++++++%3cFormControls+%2f%3e%0d%0a++++++++++++++++%3cGrid+%2f%3e%0d%0a++++++++++++++++%3cExportPage+%2f%3e%0d%0a++++++++++++++++%3cExportRange+%2f%3e%0d%0a++++++++++++++++%3cMaps+%2f%3e%0d%0a++++++++++++++%3c%2fTD%3e%0d%0a++++++++++++++%3cTD%3e%0d%0a++++++++++++++++%3cPSCFormated%3efalse%3c%2fPSCFormated%3e%0d%0a++++++++++++++++%3cStyle%3eClass31%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8%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8%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8%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32%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9%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2%3c%2fX%3e%0d%0a++++++++++++++++%3cY%3e9%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9%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4%3c%2fX%3e%0d%0a++++++++++++++++%3cY%3e9%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Calibri%3c%2fFontName%3e%0d%0a++++++++++++++++%3cWrapText%3eFalse%3c%2fWrapText%3e%0d%0a++++++++++++++++%3cFontSize%3e8%3c%2fFontSize%3e%0d%0a++++++++++++++++%3cX%3e5%3c%2fX%3e%0d%0a++++++++++++++++%3cY%3e9%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9%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9%3c%2fY%3e%0d%0a++++++++++++++++%3cImages+%2f%3e%0d%0a++++++++++++++++%3cFormControls+%2f%3e%0d%0a++++++++++++++++%3cGrid+%2f%3e%0d%0a++++++++++++++++%3cExportPage+%2f%3e%0d%0a++++++++++++++++%3cExportRange+%2f%3e%0d%0a++++++++++++++++%3cMaps+%2f%3e%0d%0a++++++++++++++%3c%2fTD%3e%0d%0a++++++++++++++%3cTD%3e%0d%0a++++++++++++++++%3cPSCFormated%3efalse%3c%2fPSCFormated%3e%0d%0a++++++++++++++++%3cStyle%3eClass35%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9%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116.25%3c%2fWidth%3e%0d%0a++++++++++++++++%3cText%3eFirst-Run%3c%2fText%3e%0d%0a++++++++++++++++%3cHeight%3e11.25%3c%2fHeight%3e%0d%0a++++++++++++++++%3cAlign%3eCenter%3c%2fAlign%3e%0d%0a++++++++++++++++%3cVerticalAlign+%2f%3e%0d%0a++++++++++++++++%3cCellHasFormula%3eFalse%3c%2fCellHasFormula%3e%0d%0a++++++++++++++++%3cFontName%3eCalibri%3c%2fFontName%3e%0d%0a++++++++++++++++%3cWrapText%3eFalse%3c%2fWrapText%3e%0d%0a++++++++++++++++%3cFontSize%3e8%3c%2fFontSize%3e%0d%0a++++++++++++++++%3cX%3e9%3c%2fX%3e%0d%0a++++++++++++++++%3cY%3e9%3c%2fY%3e%0d%0a++++++++++++++++%3cImages+%2f%3e%0d%0a++++++++++++++++%3cFormControls+%2f%3e%0d%0a++++++++++++++++%3cGrid+%2f%3e%0d%0a++++++++++++++++%3cExportPage+%2f%3e%0d%0a++++++++++++++++%3cExportRange+%2f%3e%0d%0a++++++++++++++++%3cMaps+%2f%3e%0d%0a++++++++++++++%3c%2fTD%3e%0d%0a++++++++++++++%3cTD%3e%0d%0a++++++++++++++++%3cPSCFormated%3efalse%3c%2fPSCFormated%3e%0d%0a++++++++++++++++%3cStyle%3eClass37%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9%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110.25%3c%2fWidth%3e%0d%0a++++++++++++++++%3cText%3eMature-Run%3c%2fText%3e%0d%0a++++++++++++++++%3cHeight%3e11.25%3c%2fHeight%3e%0d%0a++++++++++++++++%3cAlign%3eCenter%3c%2fAlign%3e%0d%0a++++++++++++++++%3cVerticalAlign+%2f%3e%0d%0a++++++++++++++++%3cCellHasFormula%3eFalse%3c%2fCellHasFormula%3e%0d%0a++++++++++++++++%3cFontName%3eCalibri%3c%2fFontName%3e%0d%0a++++++++++++++++%3cWrapText%3eFalse%3c%2fWrapText%3e%0d%0a++++++++++++++++%3cFontSize%3e8%3c%2fFontSize%3e%0d%0a++++++++++++++++%3cX%3e13%3c%2fX%3e%0d%0a++++++++++++++++%3cY%3e9%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9%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9%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120%3c%2fWidth%3e%0d%0a++++++++++++++++%3cText%3eMx+Consumed%3c%2fText%3e%0d%0a++++++++++++++++%3cHeight%3e11.25%3c%2fHeight%3e%0d%0a++++++++++++++++%3cAlign%3eCenter%3c%2fAlign%3e%0d%0a++++++++++++++++%3cVerticalAlign+%2f%3e%0d%0a++++++++++++++++%3cCellHasFormula%3eFalse%3c%2fCellHasFormula%3e%0d%0a++++++++++++++++%3cFontName%3eCalibri%3c%2fFontName%3e%0d%0a++++++++++++++++%3cWrapText%3eFalse%3c%2fWrapText%3e%0d%0a++++++++++++++++%3cFontSize%3e8%3c%2fFontSize%3e%0d%0a++++++++++++++++%3cX%3e18%3c%2fX%3e%0d%0a++++++++++++++++%3cY%3e9%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9%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10%3c%2fY%3e%0d%0a++++++++++++++++%3cImages+%2f%3e%0d%0a++++++++++++++++%3cFormControls+%2f%3e%0d%0a++++++++++++++++%3cGrid+%2f%3e%0d%0a++++++++++++++++%3cExportPage+%2f%3e%0d%0a++++++++++++++++%3cExportRange+%2f%3e%0d%0a++++++++++++++++%3cMaps+%2f%3e%0d%0a++++++++++++++%3c%2fTD%3e%0d%0a++++++++++++++%3cTD%3e%0d%0a++++++++++++++++%3cPSCFormated%3efalse%3c%2fPSCFormated%3e%0d%0a++++++++++++++++%3cStyle%3eClass41%3c%2fStyle%3e%0d%0a++++++++++++++++%3cMerge%3eFalse%3c%2fMerge%3e%0d%0a++++++++++++++++%3cRowSpan+%2f%3e%0d%0a++++++++++++++++%3cColSpan+%2f%3e%0d%0a++++++++++++++++%3cFormat%3eGeneral%3c%2fFormat%3e%0d%0a++++++++++++++++%3cWidth%3e13.5%3c%2fWidth%3e%0d%0a++++++++++++++++%3cText%3e++Event%3c%2fText%3e%0d%0a++++++++++++++++%3cHeight%3e11.25%3c%2fHeight%3e%0d%0a++++++++++++++++%3cAlign%3eLeft%3c%2fAlign%3e%0d%0a++++++++++++++++%3cVerticalAlign+%2f%3e%0d%0a++++++++++++++++%3cCellHasFormula%3eFalse%3c%2fCellHasFormula%3e%0d%0a++++++++++++++++%3cFontName%3eCalibri%3c%2fFontName%3e%0d%0a++++++++++++++++%3cWrapText%3eFalse%3c%2fWrapText%3e%0d%0a++++++++++++++++%3cFontSize%3e8%3c%2fFontSize%3e%0d%0a++++++++++++++++%3cX%3e2%3c%2fX%3e%0d%0a++++++++++++++++%3cY%3e10%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10%3c%2fY%3e%0d%0a++++++++++++++++%3cImages+%2f%3e%0d%0a++++++++++++++++%3cFormControls+%2f%3e%0d%0a++++++++++++++++%3cGrid+%2f%3e%0d%0a++++++++++++++++%3cExportPage+%2f%3e%0d%0a++++++++++++++++%3cExportRange+%2f%3e%0d%0a++++++++++++++++%3cMaps+%2f%3e%0d%0a++++++++++++++%3c%2fTD%3e%0d%0a++++++++++++++%3cTD%3e%0d%0a++++++++++++++++%3cPSCFormated%3efalse%3c%2fPSCFormated%3e%0d%0a++++++++++++++++%3cStyle%3eClass43%3c%2fStyle%3e%0d%0a++++++++++++++++%3cMerge%3eFalse%3c%2fMerge%3e%0d%0a++++++++++++++++%3cRowSpan+%2f%3e%0d%0a++++++++++++++++%3cColSpan+%2f%3e%0d%0a++++++++++++++++%3cFormat%3eGeneral%3c%2fFormat%3e%0d%0a++++++++++++++++%3cWidth%3e13.5%3c%2fWidth%3e%0d%0a++++++++++++++++%3cText%3eInt%3c%2fText%3e%0d%0a++++++++++++++++%3cHeight%3e11.25%3c%2fHeight%3e%0d%0a++++++++++++++++%3cAlign%3eCenter%3c%2fAlign%3e%0d%0a++++++++++++++++%3cVerticalAlign+%2f%3e%0d%0a++++++++++++++++%3cCellHasFormula%3eFalse%3c%2fCellHasFormula%3e%0d%0a++++++++++++++++%3cFontName%3eCalibri%3c%2fFontName%3e%0d%0a++++++++++++++++%3cWrapText%3eFalse%3c%2fWrapText%3e%0d%0a++++++++++++++++%3cFontSize%3e8%3c%2fFontSize%3e%0d%0a++++++++++++++++%3cX%3e4%3c%2fX%3e%0d%0a++++++++++++++++%3cY%3e10%3c%2fY%3e%0d%0a++++++++++++++++%3cImages+%2f%3e%0d%0a++++++++++++++++%3cFormControls+%2f%3e%0d%0a++++++++++++++++%3cGrid+%2f%3e%0d%0a++++++++++++++++%3cExportPage+%2f%3e%0d%0a++++++++++++++++%3cExportRange+%2f%3e%0d%0a++++++++++++++++%3cMaps+%2f%3e%0d%0a++++++++++++++%3c%2fTD%3e%0d%0a++++++++++++++%3cTD%3e%0d%0a++++++++++++++++%3cPSCFormated%3efalse%3c%2fPSCFormated%3e%0d%0a++++++++++++++++%3cStyle%3eClass44%3c%2fStyle%3e%0d%0a++++++++++++++++%3cMerge%3eFalse%3c%2fMerge%3e%0d%0a++++++++++++++++%3cRowSpan+%2f%3e%0d%0a++++++++++++++++%3cColSpan+%2f%3e%0d%0a++++++++++++++++%3cFormat%3eGeneral%3c%2fFormat%3e%0d%0a++++++++++++++++%3cWidth%3e45.75%3c%2fWidth%3e%0d%0a++++++++++++++++%3cText%3eFirst-Run%3c%2fText%3e%0d%0a++++++++++++++++%3cHeight%3e11.25%3c%2fHeight%3e%0d%0a++++++++++++++++%3cAlign%3eRight%3c%2fAlign%3e%0d%0a++++++++++++++++%3cVerticalAlign+%2f%3e%0d%0a++++++++++++++++%3cCellHasFormula%3eFalse%3c%2fCellHasFormula%3e%0d%0a++++++++++++++++%3cFontName%3eCalibri%3c%2fFontName%3e%0d%0a++++++++++++++++%3cWrapText%3eFalse%3c%2fWrapText%3e%0d%0a++++++++++++++++%3cFontSize%3e8%3c%2fFontSize%3e%0d%0a++++++++++++++++%3cX%3e5%3c%2fX%3e%0d%0a++++++++++++++++%3cY%3e10%3c%2fY%3e%0d%0a++++++++++++++++%3cImages+%2f%3e%0d%0a++++++++++++++++%3cFormControls+%2f%3e%0d%0a++++++++++++++++%3cGrid+%2f%3e%0d%0a++++++++++++++++%3cExportPage+%2f%3e%0d%0a++++++++++++++++%3cExportRange+%2f%3e%0d%0a++++++++++++++++%3cMaps+%2f%3e%0d%0a++++++++++++++%3c%2fTD%3e%0d%0a++++++++++++++%3cTD%3e%0d%0a++++++++++++++++%3cPSCFormated%3efalse%3c%2fPSCFormated%3e%0d%0a++++++++++++++++%3cStyle%3eClass45%3c%2fStyle%3e%0d%0a++++++++++++++++%3cMerge%3eFalse%3c%2fMerge%3e%0d%0a++++++++++++++++%3cRowSpan+%2f%3e%0d%0a++++++++++++++++%3cColSpan+%2f%3e%0d%0a++++++++++++++++%3cFormat%3eGeneral%3c%2fFormat%3e%0d%0a++++++++++++++++%3cWidth%3e13.5%3c%2fWidth%3e%0d%0a++++++++++++++++%3cText%3e%2f%3c%2fText%3e%0d%0a++++++++++++++++%3cHeight%3e11.25%3c%2fHeight%3e%0d%0a++++++++++++++++%3cAlign%3eCenter%3c%2fAlign%3e%0d%0a++++++++++++++++%3cVerticalAlign+%2f%3e%0d%0a++++++++++++++++%3cCellHasFormula%3eFalse%3c%2fCellHasFormula%3e%0d%0a++++++++++++++++%3cFontName%3eCalibri%3c%2fFontName%3e%0d%0a++++++++++++++++%3cWrapText%3eFalse%3c%2fWrapText%3e%0d%0a++++++++++++++++%3cFontSize%3e8%3c%2fFontSize%3e%0d%0a++++++++++++++++%3cX%3e6%3c%2fX%3e%0d%0a++++++++++++++++%3cY%3e10%3c%2fY%3e%0d%0a++++++++++++++++%3cImages+%2f%3e%0d%0a++++++++++++++++%3cFormControls+%2f%3e%0d%0a++++++++++++++++%3cGrid+%2f%3e%0d%0a++++++++++++++++%3cExportPage+%2f%3e%0d%0a++++++++++++++++%3cExportRange+%2f%3e%0d%0a++++++++++++++++%3cMaps+%2f%3e%0d%0a++++++++++++++%3c%2fTD%3e%0d%0a++++++++++++++%3cTD%3e%0d%0a++++++++++++++++%3cPSCFormated%3efalse%3c%2fPSCFormated%3e%0d%0a++++++++++++++++%3cStyle%3eClass46%3c%2fStyle%3e%0d%0a++++++++++++++++%3cMerge%3eFalse%3c%2fMerge%3e%0d%0a++++++++++++++++%3cRowSpan+%2f%3e%0d%0a++++++++++++++++%3cColSpan+%2f%3e%0d%0a++++++++++++++++%3cFormat%3eGeneral%3c%2fFormat%3e%0d%0a+++++++++++++++</t>
  </si>
  <si>
    <t xml:space="preserve"> +%3cWidth%3e51%3c%2fWidth%3e%0d%0a++++++++++++++++%3cText%3eMature-Run%3c%2fText%3e%0d%0a++++++++++++++++%3cHeight%3e11.25%3c%2fHeight%3e%0d%0a++++++++++++++++%3cAlign%3eLeft%3c%2fAlign%3e%0d%0a++++++++++++++++%3cVerticalAlign+%2f%3e%0d%0a++++++++++++++++%3cCellHasFormula%3eFalse%3c%2fCellHasFormula%3e%0d%0a++++++++++++++++%3cFontName%3eCalibri%3c%2fFontName%3e%0d%0a++++++++++++++++%3cWrapText%3eFalse%3c%2fWrapText%3e%0d%0a++++++++++++++++%3cFontSize%3e8%3c%2fFontSize%3e%0d%0a++++++++++++++++%3cX%3e7%3c%2fX%3e%0d%0a++++++++++++++++%3cY%3e10%3c%2fY%3e%0d%0a++++++++++++++++%3cImages+%2f%3e%0d%0a++++++++++++++++%3cFormControls+%2f%3e%0d%0a++++++++++++++++%3cGrid+%2f%3e%0d%0a++++++++++++++++%3cExportPage+%2f%3e%0d%0a++++++++++++++++%3cExportRange+%2f%3e%0d%0a++++++++++++++++%3cMaps+%2f%3e%0d%0a++++++++++++++%3c%2fTD%3e%0d%0a++++++++++++++%3cTD%3e%0d%0a++++++++++++++++%3cPSCFormated%3efalse%3c%2fPSCFormated%3e%0d%0a++++++++++++++++%3cStyle%3eClass47%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10%3c%2fY%3e%0d%0a++++++++++++++++%3cImages+%2f%3e%0d%0a++++++++++++++++%3cFormControls+%2f%3e%0d%0a++++++++++++++++%3cGrid+%2f%3e%0d%0a++++++++++++++++%3cExportPage+%2f%3e%0d%0a++++++++++++++++%3cExportRange+%2f%3e%0d%0a++++++++++++++++%3cMaps+%2f%3e%0d%0a++++++++++++++%3c%2fTD%3e%0d%0a++++++++++++++%3cTD%3e%0d%0a++++++++++++++++%3cPSCFormated%3efalse%3c%2fPSCFormated%3e%0d%0a++++++++++++++++%3cStyle%3eClass36%3c%2fStyle%3e%0d%0a++++++++++++++++%3cMerge%3eFalse%3c%2fMerge%3e%0d%0a++++++++++++++++%3cRowSpan+%2f%3e%0d%0a++++++++++++++++%3cColSpan+%2f%3e%0d%0a++++++++++++++++%3cFormat%3eGeneral%3c%2fFormat%3e%0d%0a++++++++++++++++%3cWidth%3e51%3c%2fWidth%3e%0d%0a++++++++++++++++%3cText%3eCost+%24%3c%2fText%3e%0d%0a++++++++++++++++%3cHeight%3e11.25%3c%2fHeight%3e%0d%0a++++++++++++++++%3cAlign%3eCenter%3c%2fAlign%3e%0d%0a++++++++++++++++%3cVerticalAlign+%2f%3e%0d%0a++++++++++++++++%3cCellHasFormula%3eFalse%3c%2fCellHasFormula%3e%0d%0a++++++++++++++++%3cFontName%3eCalibri%3c%2fFontName%3e%0d%0a++++++++++++++++%3cWrapText%3eFalse%3c%2fWrapText%3e%0d%0a++++++++++++++++%3cFontSize%3e8%3c%2fFontSize%3e%0d%0a++++++++++++++++%3cX%3e9%3c%2fX%3e%0d%0a++++++++++++++++%3cY%3e10%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10%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General%3c%2fFormat%3e%0d%0a++++++++++++++++%3cWidth%3e51%3c%2fWidth%3e%0d%0a++++++++++++++++%3cText%3eDMC+%24+%2fFH%3c%2fText%3e%0d%0a++++++++++++++++%3cHeight%3e11.25%3c%2fHeight%3e%0d%0a++++++++++++++++%3cAlign%3eCenter%3c%2fAlign%3e%0d%0a++++++++++++++++%3cVerticalAlign+%2f%3e%0d%0a++++++++++++++++%3cCellHasFormula%3eFalse%3c%2fCellHasFormula%3e%0d%0a++++++++++++++++%3cFontName%3eCalibri%3c%2fFontName%3e%0d%0a++++++++++++++++%3cWrapText%3eFalse%3c%2fWrapText%3e%0d%0a++++++++++++++++%3cFontSize%3e8%3c%2fFontSize%3e%0d%0a++++++++++++++++%3cX%3e11%3c%2fX%3e%0d%0a++++++++++++++++%3cY%3e10%3c%2fY%3e%0d%0a++++++++++++++++%3cImages+%2f%3e%0d%0a++++++++++++++++%3cFormControls+%2f%3e%0d%0a++++++++++++++++%3cGrid+%2f%3e%0d%0a++++++++++++++++%3cExportPage+%2f%3e%0d%0a++++++++++++++++%3cExportRange+%2f%3e%0d%0a++++++++++++++++%3cMaps+%2f%3e%0d%0a++++++++++++++%3c%2fTD%3e%0d%0a++++++++++++++%3cTD%3e%0d%0a++++++++++++++++%3cPSCFormated%3efalse%3c%2fPSCFormated%3e%0d%0a++++++++++++++++%3cStyle%3eClass50%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10%3c%2fY%3e%0d%0a++++++++++++++++%3cImages+%2f%3e%0d%0a++++++++++++++++%3cFormControls+%2f%3e%0d%0a++++++++++++++++%3cGrid+%2f%3e%0d%0a++++++++++++++++%3cExportPage+%2f%3e%0d%0a++++++++++++++++%3cExportRange+%2f%3e%0d%0a++++++++++++++++%3cMaps+%2f%3e%0d%0a++++++++++++++%3c%2fTD%3e%0d%0a++++++++++++++%3cTD%3e%0d%0a++++++++++++++++%3cPSCFormated%3efalse%3c%2fPSCFormated%3e%0d%0a++++++++++++++++%3cStyle%3eClass36%3c%2fStyle%3e%0d%0a++++++++++++++++%3cMerge%3eFalse%3c%2fMerge%3e%0d%0a++++++++++++++++%3cRowSpan+%2f%3e%0d%0a++++++++++++++++%3cColSpan+%2f%3e%0d%0a++++++++++++++++%3cFormat%3eGeneral%3c%2fFormat%3e%0d%0a++++++++++++++++%3cWidth%3e51%3c%2fWidth%3e%0d%0a++++++++++++++++%3cText%3eCost+%24%3c%2fText%3e%0d%0a++++++++++++++++%3cHeight%3e11.25%3c%2fHeight%3e%0d%0a++++++++++++++++%3cAlign%3eCenter%3c%2fAlign%3e%0d%0a++++++++++++++++%3cVerticalAlign+%2f%3e%0d%0a++++++++++++++++%3cCellHasFormula%3eFalse%3c%2fCellHasFormula%3e%0d%0a++++++++++++++++%3cFontName%3eCalibri%3c%2fFontName%3e%0d%0a++++++++++++++++%3cWrapText%3eFalse%3c%2fWrapText%3e%0d%0a++++++++++++++++%3cFontSize%3e8%3c%2fFontSize%3e%0d%0a++++++++++++++++%3cX%3e13%3c%2fX%3e%0d%0a++++++++++++++++%3cY%3e10%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10%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General%3c%2fFormat%3e%0d%0a++++++++++++++++%3cWidth%3e45.75%3c%2fWidth%3e%0d%0a++++++++++++++++%3cText%3eDMC+%24+%2fFH%3c%2fText%3e%0d%0a++++++++++++++++%3cHeight%3e11.25%3c%2fHeight%3e%0d%0a++++++++++++++++%3cAlign%3eCenter%3c%2fAlign%3e%0d%0a++++++++++++++++%3cVerticalAlign+%2f%3e%0d%0a++++++++++++++++%3cCellHasFormula%3eFalse%3c%2fCellHasFormula%3e%0d%0a++++++++++++++++%3cFontName%3eCalibri%3c%2fFontName%3e%0d%0a++++++++++++++++%3cWrapText%3eFalse%3c%2fWrapText%3e%0d%0a++++++++++++++++%3cFontSize%3e8%3c%2fFontSize%3e%0d%0a++++++++++++++++%3cX%3e15%3c%2fX%3e%0d%0a++++++++++++++++%3cY%3e10%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Calibri%3c%2fFontName%3e%0d%0a++++++++++++++++%3cWrapText%3eFalse%3c%2fWrapText%3e%0d%0a++++++++++++++++%3cFontSize%3e8%3c%2fFontSize%3e%0d%0a++++++++++++++++%3cX%3e16%3c%2fX%3e%0d%0a++++++++++++++++%3cY%3e10%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10%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10%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10%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10%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10%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11%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11%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11%3c%2fY%3e%0d%0a++++++++++++++++%3cImages+%2f%3e%0d%0a++++++++++++++++%3cFormControls+%2f%3e%0d%0a++++++++++++++++%3cGrid+%2f%3e%0d%0a++++++++++++++++%3cExportPage+%2f%3e%0d%0a++++++++++++++++%3cExportRange+%2f%3e%0d%0a++++++++++++++++%3cMaps+%2f%3e%0d%0a++++++++++++++%3c%2fTD%3e%0d%0a++++++++++++++%3cTD%3e%0d%0a++++++++++++++++%3cPSCFormated%3efalse%3c%2fPSCFormated%3e%0d%0a++++++++++++++++%3cStyle%3eClass53%3c%2fStyle%3e%0d%0a++++++++++++++++%3cMerge%3eFalse%3c%2fMerge%3e%0d%0a++++++++++++++++%3cRowSpan+%2f%3e%0d%0a++++++++++++++++%3cColSpan+%2f%3e%0d%0a++++++++++++++++%3cFormat%3eGeneral%3c%2fFormat%3e%0d%0a++++++++++++++++%3cWidth%3e13.5%3c%2fWidth%3e%0d%0a++++++++++++++++%3cText%3eMo%3c%2fText%3e%0d%0a++++++++++++++++%3cHeight%3e11.25%3c%2fHeight%3e%0d%0a++++++++++++++++%3cAlign%3eCenter%3c%2fAlign%3e%0d%0a++++++++++++++++%3cVerticalAlign+%2f%3e%0d%0a++++++++++++++++%3cCellHasFormula%3eFalse%3c%2fCellHasFormula%3e%0d%0a++++++++++++++++%3cFontName%3eCalibri%3c%2fFontName%3e%0d%0a++++++++++++++++%3cWrapText%3eFalse%3c%2fWrapText%3e%0d%0a++++++++++++++++%3cFontSize%3e8%3c%2fFontSize%3e%0d%0a++++++++++++++++%3cX%3e4%3c%2fX%3e%0d%0a++++++++++++++++%3cY%3e11%3c%2fY%3e%0d%0a++++++++++++++++%3cImages+%2f%3e%0d%0a++++++++++++++++%3cFormControls+%2f%3e%0d%0a++++++++++++++++%3cGrid+%2f%3e%0d%0a++++++++++++++++%3cExportPage+%2f%3e%0d%0a++++++++++++++++%3cExportRange+%2f%3e%0d%0a++++++++++++++++%3cMaps+%2f%3e%0d%0a++++++++++++++%3c%2fTD%3e%0d%0a++++++++++++++%3cTD%3e%0d%0a++++++++++++++++%3cPSCFormated%3efalse%3c%2fPSCFormated%3e%0d%0a++++++++++++++++%3cStyle%3eClass54%3c%2fStyle%3e%0d%0a++++++++++++++++%3cMerge%3eFalse%3c%2fMerge%3e%0d%0a++++++++++++++++%3cRowSpan+%2f%3e%0d%0a++++++++++++++++%3cColSpan+%2f%3e%0d%0a++++++++++++++++%3cFormat%3eGeneral%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11%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11%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11%3c%2fY%3e%0d%0a++++++++++++++++%3cImages+%2f%3e%0d%0a++++++++++++++++%3cFormControls+%2f%3e%0d%0a++++++++++++++++%3cGrid+%2f%3e%0d%0a++++++++++++++++%3cExportPage+%2f%3e%0d%0a++++++++++++++++%3cExportRange+%2f%3e%0d%0a++++++++++++++++%3cMaps+%2f%3e%0d%0a++++++++++++++%3c%2fTD%3e%0d%0a++++++++++++++%3cTD%3e%0d%0a++++++++++++++++%3cPSCFormated%3efalse%3c%2fPSCFormated%3e%0d%0a++++++++++++++++%3cStyle%3eClass35%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11%3c%2fY%3e%0d%0a++++++++++++++++%3cImages+%2f%3e%0d%0a++++++++++++++++%3cFormControls+%2f%3e%0d%0a++++++++++++++++%3cGrid+%2f%3e%0d%0a++++++++++++++++%3cExportPage+%2f%3e%0d%0a++++++++++++++++%3cExportRange+%2f%3e%0d%0a++++++++++++++++%3cMaps+%2f%3e%0d%0a++++++++++++++%3c%2fTD%3e%0d%0a++++++++++++++%3cTD%3e%0d%0a++++++++++++++++%3cPSCFormated%3efalse%3c%2fPSCFormated%3e%0d%0a++++++++++++++++%3cStyle%3eClass55%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11%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11%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11%3c%2fY%3e%0d%0a++++++++++++++++%3cImages+%2f%3e%0d%0a++++++++++++++++%3cFormControls+%2f%3e%0d%0a++++++++++++++++%3cGrid+%2f%3e%0d%0a++++++++++++++++%3cExportPage+%2f%3e%0d%0a++++++++++++++++%3cExportRange+%2f%3e%0d%0a++++++++++++++++%3cMaps+%2f%3e%0d%0a++++++++++++++%3c%2fTD%3e%0d%0a++++++++++++++%3cTD%3e%0d%0a++++++++++++++++%3cPSCFormated%3efalse%3c%2fPSCFormated%3e%0d%0a++++++++++++++++%3cStyle%3eClass37%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11%3c%2fY%3e%0d%0a++++++++++++++++%3cImages+%2f%3e%0d%0a++++++++++++++++%3cFormControls+%2f%3e%0d%0a++++++++++++++++%3cGrid+%2f%3e%0d%0a++++++++++++++++%3cExportPage+%2f%3e%0d%0a++++++++++++++++%3cExportRange+%2f%3e%0d%0a++++++++++++++++%3cMaps+%2f%3e%0d%0a++++++++++++++%3c%2fTD%3e%0d%0a++++++++++++++%3cTD%3e%0d%0a++++++++++++++++%3cPSCFormated%3efalse%3c%2fPSCFormated%3e%0d%0a++++++++++++++++%3cStyle%3eClass55%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11%3c%2fY%3e%0d%0a++++++++++++++++%3cImages+%2f%3e%0d%0a++++++++++++++++%3cFormControls+%2f%3e%0d%0a++++++++++++++++%3cGrid+%2f%3e%0d%0a++++++++++++++++%3cExportPage+%2f%3e%0d%0a++++++++++++++++%3cExportRange+%2f%3e%0d%0a++++++++++++++++%3cMaps+%2f%3e%0d%0a++++++++++++++%3c%2fTD%3e%0d%0a++++++++++++++%3cTD%3e%0d%0a++++++++++++++++%3cPSCFormated%3efalse%3c%2fPSCFormated%3e%0d%0a++++++++++++++++%3cStyle%3eClass34%3c%2fStyle%3e%0d%0a++++++++++++++++%3cMerge%3eFalse%3c%2fMerge%3e%0d%0a++++++++++++++++%3cRowSpan+%2f%3e%0d%0a++++++++++++++++%3cColSpan+%</t>
  </si>
  <si>
    <t xml:space="preserve"> 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11%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11%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11%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11%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11%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11%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11%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11%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12%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12%3c%2fY%3e%0d%0a++++++++++++++++%3cImages+%2f%3e%0d%0a++++++++++++++++%3cFormControls+%2f%3e%0d%0a++++++++++++++++%3cGrid+%2f%3e%0d%0a++++++++++++++++%3cExportPage+%2f%3e%0d%0a++++++++++++++++%3cExportRange+%2f%3e%0d%0a++++++++++++++++%3cMaps+%2f%3e%0d%0a++++++++++++++%3c%2fTD%3e%0d%0a++++++++++++++%3cTD%3e%0d%0a++++++++++++++++%3cPSCFormated%3efalse%3c%2fPSCFormated%3e%0d%0a++++++++++++++++%3cStyle%3eClass59%3c%2fStyle%3e%0d%0a++++++++++++++++%3cMerge%3eFalse%3c%2fMerge%3e%0d%0a++++++++++++++++%3cRowSpan+%2f%3e%0d%0a++++++++++++++++%3cColSpan+%2f%3e%0d%0a++++++++++++++++%3cFormat%3eGeneral%3c%2fFormat%3e%0d%0a++++++++++++++++%3cWidth%3e13.5%3c%2fWidth%3e%0d%0a++++++++++++++++%3cText%3eMo%3c%2fText%3e%0d%0a++++++++++++++++%3cHeight%3e11.25%3c%2fHeight%3e%0d%0a++++++++++++++++%3cAlign%3eCenter%3c%2fAlign%3e%0d%0a++++++++++++++++%3cVerticalAlign+%2f%3e%0d%0a++++++++++++++++%3cCellHasFormula%3eFalse%3c%2fCellHasFormula%3e%0d%0a++++++++++++++++%3cFontName%3eCalibri%3c%2fFontName%3e%0d%0a++++++++++++++++%3cWrapText%3eFalse%3c%2fWrapText%3e%0d%0a++++++++++++++++%3cFontSize%3e8%3c%2fFontSize%3e%0d%0a++++++++++++++++%3cX%3e4%3c%2fX%3e%0d%0a++++++++++++++++%3cY%3e12%3c%2fY%3e%0d%0a++++++++++++++++%3cImages+%2f%3e%0d%0a++++++++++++++++%3cFormControls+%2f%3e%0d%0a++++++++++++++++%3cGrid+%2f%3e%0d%0a++++++++++++++++%3cExportPage+%2f%3e%0d%0a++++++++++++++++%3cExportRange+%2f%3e%0d%0a++++++++++++++++%3cMaps+%2f%3e%0d%0a++++++++++++++%3c%2fTD%3e%0d%0a++++++++++++++%3cTD%3e%0d%0a++++++++++++++++%3cPSCFormated%3efalse%3c%2fPSCFormated%3e%0d%0a++++++++++++++++%3cStyle%3eClass60%3c%2fStyle%3e%0d%0a++++++++++++++++%3cMerge%3eFalse%3c%2fMerge%3e%0d%0a++++++++++++++++%3cRowSpan+%2f%3e%0d%0a++++++++++++++++%3cColSpan+%2f%3e%0d%0a++++++++++++++++%3cFormat%3eGeneral%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12%3c%2fY%3e%0d%0a++++++++++++++++%3cImages+%2f%3e%0d%0a++++++++++++++++%3cFormControls+%2f%3e%0d%0a++++++++++++++++%3cGrid+%2f%3e%0d%0a++++++++++++++++%3cExportPage+%2f%3e%0d%0a++++++++++++++++%3cExportRange+%2f%3e%0d%0a++++++++++++++++%3cMaps+%2f%3e%0d%0a++++++++++++++%3c%2fTD%3e%0d%0a++++++++++++++%3cTD%3e%0d%0a++++++++++++++++%3cPSCFormated%3efalse%3c%2fPSCFormated%3e%0d%0a++++++++++++++++%3cStyle%3eClass61%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12%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12%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12%3c%2fY%3e%0d%0a++++++++++++++++%3cImages+%2f%3e%0d%0a++++++++++++++++%3cFormControls+%2f%3e%0d%0a++++++++++++++++%3cGrid+%2f%3e%0d%0a++++++++++++++++%3cExportPage+%2f%3e%0d%0a++++++++++++++++%3cExportRange+%2f%3e%0d%0a++++++++++++++++%3cMaps+%2f%3e%0d%0a++++++++++++++%3c%2fTD%3e%0d%0a++++++++++++++%3cTD%3e%0d%0a++++++++++++++++%3cPSCFormated%3efalse%3c%2fPSCFormated%3e%0d%0a++++++++++++++++%3cStyle%3eClass63%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12%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12%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12%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12%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12%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12%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12%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12%3c%2fY%3e%0d%0a++++++++++++++++%3cImages+%2f%3e%0d%0a++++++++++++++++%3cFormControls+%2f%3e%0d%0a++++++++++++++++%3cGrid+%2f%3e%0d%0a++++++++++++++++%3cExportPage+%2f%3e%0d%0a++++++++++++++++%3cExportRange+%2f%3e%0d%0a++++++++++++++++%3cMaps+%2f%3e%0d%0a++++++++++++++%3c%2fTD%3e%0d%0a++++++++++++++%3cTD%3e%0d%0a++++++++++++++++%3cPSCFormated%3efalse%3c%2fPSCFormated%3e%0d%0a++++++++++++++++%3cStyle%3eClass38%3c%2fStyle%3e%0d%0a++++++++++++++++%3cMerge%3eFalse%3c%2fMerge%3e%0d%0a++++++++++++++++%3cRowSpan+%2f%3e%0d%0a++++++++++++++++%3cColSpan+%2f%3e%0d%0a+++++++++</t>
  </si>
  <si>
    <t xml:space="preserve"> +++++++%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12%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13%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13%3c%2fY%3e%0d%0a++++++++++++++++%3cImages+%2f%3e%0d%0a++++++++++++++++%3cFormControls+%2f%3e%0d%0a++++++++++++++++%3cGrid+%2f%3e%0d%0a++++++++++++++++%3cExportPage+%2f%3e%0d%0a++++++++++++++++%3cExportRange+%2f%3e%0d%0a++++++++++++++++%3cMaps+%2f%3e%0d%0a++++++++++++++%3c%2fTD%3e%0d%0a++++++++++++++%3cTD%3e%0d%0a++++++++++++++++%3cPSCFormated%3efalse%3c%2fPSCFormated%3e%0d%0a++++++++++++++++%3cStyle%3eClass59%3c%2fStyle%3e%0d%0a++++++++++++++++%3cMerge%3eFalse%3c%2fMerge%3e%0d%0a++++++++++++++++%3cRowSpan+%2f%3e%0d%0a++++++++++++++++%3cColSpan+%2f%3e%0d%0a++++++++++++++++%3cFormat%3eGeneral%3c%2fFormat%3e%0d%0a++++++++++++++++%3cWidth%3e13.5%3c%2fWidth%3e%0d%0a++++++++++++++++%3cText%3eMo%3c%2fText%3e%0d%0a++++++++++++++++%3cHeight%3e11.25%3c%2fHeight%3e%0d%0a++++++++++++++++%3cAlign%3eCenter%3c%2fAlign%3e%0d%0a++++++++++++++++%3cVerticalAlign+%2f%3e%0d%0a++++++++++++++++%3cCellHasFormula%3eFalse%3c%2fCellHasFormula%3e%0d%0a++++++++++++++++%3cFontName%3eCalibri%3c%2fFontName%3e%0d%0a++++++++++++++++%3cWrapText%3eFalse%3c%2fWrapText%3e%0d%0a++++++++++++++++%3cFontSize%3e8%3c%2fFontSize%3e%0d%0a++++++++++++++++%3cX%3e4%3c%2fX%3e%0d%0a++++++++++++++++%3cY%3e13%3c%2fY%3e%0d%0a++++++++++++++++%3cImages+%2f%3e%0d%0a++++++++++++++++%3cFormControls+%2f%3e%0d%0a++++++++++++++++%3cGrid+%2f%3e%0d%0a++++++++++++++++%3cExportPage+%2f%3e%0d%0a++++++++++++++++%3cExportRange+%2f%3e%0d%0a++++++++++++++++%3cMaps+%2f%3e%0d%0a++++++++++++++%3c%2fTD%3e%0d%0a++++++++++++++%3cTD%3e%0d%0a++++++++++++++++%3cPSCFormated%3efalse%3c%2fPSCFormated%3e%0d%0a++++++++++++++++%3cStyle%3eClass60%3c%2fStyle%3e%0d%0a++++++++++++++++%3cMerge%3eFalse%3c%2fMerge%3e%0d%0a++++++++++++++++%3cRowSpan+%2f%3e%0d%0a++++++++++++++++%3cColSpan+%2f%3e%0d%0a++++++++++++++++%3cFormat%3eGeneral%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13%3c%2fY%3e%0d%0a++++++++++++++++%3cImages+%2f%3e%0d%0a++++++++++++++++%3cFormControls+%2f%3e%0d%0a++++++++++++++++%3cGrid+%2f%3e%0d%0a++++++++++++++++%3cExportPage+%2f%3e%0d%0a++++++++++++++++%3cExportRange+%2f%3e%0d%0a++++++++++++++++%3cMaps+%2f%3e%0d%0a++++++++++++++%3c%2fTD%3e%0d%0a++++++++++++++%3cTD%3e%0d%0a++++++++++++++++%3cPSCFormated%3efalse%3c%2fPSCFormated%3e%0d%0a++++++++++++++++%3cStyle%3eClass61%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13%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13%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13%3c%2fY%3e%0d%0a++++++++++++++++%3cImages+%2f%3e%0d%0a++++++++++++++++%3cFormControls+%2f%3e%0d%0a++++++++++++++++%3cGrid+%2f%3e%0d%0a++++++++++++++++%3cExportPage+%2f%3e%0d%0a++++++++++++++++%3cExportRange+%2f%3e%0d%0a++++++++++++++++%3cMaps+%2f%3e%0d%0a++++++++++++++%3c%2fTD%3e%0d%0a++++++++++++++%3cTD%3e%0d%0a++++++++++++++++%3cPSCFormated%3efalse%3c%2fPSCFormated%3e%0d%0a++++++++++++++++%3cStyle%3eClass63%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13%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13%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13%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13%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13%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13%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13%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13%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13%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14%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14%3c%2fY%3e%0d%0a++++++++++++++++%3cImages+%2f%3e%0d%0a++++++++++++++++%3cFormControls+%2f%3e%0d%0a++++++++++++++++%3cGrid+%2f%3e%0d%0a++++++++++++++++%3cExportPage+%2f%3e%0d%0a++++++++++++++++%3cExportRange+%2f%3e%0d%0a++++++++++++++++%3cMaps+%2f%3e%0d%0a++++++++++++++%3c%2fTD%3e%0d%0a++++++++++++++%3cTD%3e%0d%0a++++++++++++++++%3cPSCFormated%3efalse%3c%2fPSCFormated%3e%0d%0a++++++++++++++++%3cStyle%3eClass59%3c%2fStyle%3e%0d%0a++++++++++++++++%3cMerge%3eFalse%3c%2fMerge%3e%0d%0a++++++++++++++++%3cRowSpan+%2f%3e%0d%0a++++++++++++++++%3cColSpan+%2f%3e%0d%0a++++++++++++++++%3cFormat%3eGeneral%3c%2fFormat%3e%0d%0a++++++++++++++++%3cWidth%3e13.5%3c%2fWidth%3e%0d%0a++++++++++++++++%3cText%3eFH%3c%2fText%3e%0d%0a++++++++++++++++%3cHeight%3e11.25%3c%2fHeight%3e%0d%0a++++++++++++++++%3cAlign%3eCenter%3c%2fAlign%3e%0d%0a++++++++++++++++%3cVerticalAlign+%2f%3e%0d%0a++++++++++++++++%3cCellHasFormula%3eFalse%3c%2fCellHasFormula%3e%0d%0a++++++++++++++++%3cFontName%3eCalibri%3c%2fFontName%3e%0d%0a++++++++++++++++%3cWrapText%3eFalse%3c%2fWrapText%3e%0d%0a++++++++++++++++%3cFontSize%3e8%3c%2fFontSize%3e%0d%0a++++++++++++++++%3cX%3e4%3c%2fX%3e%0d%0a++++++++++++++++%3cY%3e14%3c%2fY%3e%0d%0a++++++++++++++++%3cImages+%2f%3e%0d%0a++++++++++++++++%3cFormControls+%2f%3e%0d%0a++++++++++++++++%3cGrid+%2f%3e%0d%0a++++++++++++++++%3cExportPage+%2f%3e%0d%0a++++++++++++++++%3cExportRange+%2f%3e%0d%0a++++++++++++++++%3cMaps+%2f%3e%0d%0a++++++++++++++%3c%2fTD%3e%0d%0a++++++++++++++%3cTD%3e%0d%0a++++++++++++++++%3cPSCFormated%3efalse%3c%2fPSCFormated%3e%0d%0a++++++++++++++++%3cStyle%3eClass60%3c%2fStyle%3e%0d%0a++++++++++++++++%3cMerge%3eFalse%3c%2fMerge%3e%0d%0a++++++++++++++++%3cRowSpan+%2f%3e%0d%0a++++++++++++++++%3cColSpan+%2f%3e%0d%0a++++++++++++++++%3cFormat%3e%23%2c%23%230%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14%3c%2fY%3e%0d%0a++++++++++++++++%3cImages+%2f%3e%0d%0a++++++++++++++++%3cFormControls+%2f%3e%0d%0a++++++++++++++++%3cGrid+%2f%3e%0d%0a++++++++++++++++%3cExportPage+%2f%3e%0d%0a++++++++++++++++%3cExportRange+%2f%3e%0d%0a++++++++++++++++%3cMaps+%2f%3e%0d%0a++++++++++++++%3c%2fTD%3e%0d%0a++++++++++++++%3cTD%3e%0d%0a++++++++++++++++%3cPSCFormated%3efalse%3c%2fPSCFormated%3e%0d%0a++++++++++++++++%3cStyle%3eCla</t>
  </si>
  <si>
    <t xml:space="preserve"> ss57%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14%3c%2fY%3e%0d%0a++++++++++++++++%3cImages+%2f%3e%0d%0a++++++++++++++++%3cFormControls+%2f%3e%0d%0a++++++++++++++++%3cGrid+%2f%3e%0d%0a++++++++++++++++%3cExportPage+%2f%3e%0d%0a++++++++++++++++%3cExportRange+%2f%3e%0d%0a++++++++++++++++%3cMaps+%2f%3e%0d%0a++++++++++++++%3c%2fTD%3e%0d%0a++++++++++++++%3cTD%3e%0d%0a++++++++++++++++%3cPSCFormated%3efalse%3c%2fPSCFormated%3e%0d%0a++++++++++++++++%3cStyle%3eClass61%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14%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14%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14%3c%2fY%3e%0d%0a++++++++++++++++%3cImages+%2f%3e%0d%0a++++++++++++++++%3cFormControls+%2f%3e%0d%0a++++++++++++++++%3cGrid+%2f%3e%0d%0a++++++++++++++++%3cExportPage+%2f%3e%0d%0a++++++++++++++++%3cExportRange+%2f%3e%0d%0a++++++++++++++++%3cMaps+%2f%3e%0d%0a++++++++++++++%3c%2fTD%3e%0d%0a++++++++++++++%3cTD%3e%0d%0a++++++++++++++++%3cPSCFormated%3efalse%3c%2fPSCFormated%3e%0d%0a++++++++++++++++%3cStyle%3eClass63%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14%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14%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14%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14%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14%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14%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14%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14%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15%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15%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15%3c%2fY%3e%0d%0a++++++++++++++++%3cImages+%2f%3e%0d%0a++++++++++++++++%3cFormControls+%2f%3e%0d%0a++++++++++++++++%3cGrid+%2f%3e%0d%0a++++++++++++++++%3cExportPage+%2f%3e%0d%0a++++++++++++++++%3cExportRange+%2f%3e%0d%0a++++++++++++++++%3cMaps+%2f%3e%0d%0a++++++++++++++%3c%2fTD%3e%0d%0a++++++++++++++%3cTD%3e%0d%0a++++++++++++++++%3cPSCFormated%3efalse%3c%2fPSCFormated%3e%0d%0a++++++++++++++++%3cStyle%3eClass59%3c%2fStyle%3e%0d%0a++++++++++++++++%3cMerge%3eFalse%3c%2fMerge%3e%0d%0a++++++++++++++++%3cRowSpan+%2f%3e%0d%0a++++++++++++++++%3cColSpan+%2f%3e%0d%0a++++++++++++++++%3cFormat%3eGeneral%3c%2fFormat%3e%0d%0a++++++++++++++++%3cWidth%3e13.5%3c%2fWidth%3e%0d%0a++++++++++++++++%3cText%3eFC%3c%2fText%3e%0d%0a++++++++++++++++%3cHeight%3e11.25%3c%2fHeight%3e%0d%0a++++++++++++++++%3cAlign%3eCenter%3c%2fAlign%3e%0d%0a++++++++++++++++%3cVerticalAlign+%2f%3e%0d%0a++++++++++++++++%3cCellHasFormula%3eFalse%3c%2fCellHasFormula%3e%0d%0a++++++++++++++++%3cFontName%3eCalibri%3c%2fFontName%3e%0d%0a++++++++++++++++%3cWrapText%3eFalse%3c%2fWrapText%3e%0d%0a++++++++++++++++%3cFontSize%3e8%3c%2fFontSize%3e%0d%0a++++++++++++++++%3cX%3e4%3c%2fX%3e%0d%0a++++++++++++++++%3cY%3e15%3c%2fY%3e%0d%0a++++++++++++++++%3cImages+%2f%3e%0d%0a++++++++++++++++%3cFormControls+%2f%3e%0d%0a++++++++++++++++%3cGrid+%2f%3e%0d%0a++++++++++++++++%3cExportPage+%2f%3e%0d%0a++++++++++++++++%3cExportRange+%2f%3e%0d%0a++++++++++++++++%3cMaps+%2f%3e%0d%0a++++++++++++++%3c%2fTD%3e%0d%0a++++++++++++++%3cTD%3e%0d%0a++++++++++++++++%3cPSCFormated%3efalse%3c%2fPSCFormated%3e%0d%0a++++++++++++++++%3cStyle%3eClass60%3c%2fStyle%3e%0d%0a++++++++++++++++%3cMerge%3eFalse%3c%2fMerge%3e%0d%0a++++++++++++++++%3cRowSpan+%2f%3e%0d%0a++++++++++++++++%3cColSpan+%2f%3e%0d%0a++++++++++++++++%3cFormat%3e%23%2c%23%230%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15%3c%2fY%3e%0d%0a++++++++++++++++%3cImages+%2f%3e%0d%0a++++++++++++++++%3cFormControls+%2f%3e%0d%0a++++++++++++++++%3cGrid+%2f%3e%0d%0a++++++++++++++++%3cExportPage+%2f%3e%0d%0a++++++++++++++++%3cExportRange+%2f%3e%0d%0a++++++++++++++++%3cMaps+%2f%3e%0d%0a++++++++++++++%3c%2fTD%3e%0d%0a++++++++++++++%3cTD%3e%0d%0a++++++++++++++++%3cPSCFormated%3efalse%3c%2fPSCFormated%3e%0d%0a++++++++++++++++%3cStyle%3eClass59%3c%2fStyle%3e%0d%0a++++++++++++++++%3cMerge%3eFalse%3c%2fMerge%3e%0d%0a++++++++++++++++%3cRowSpan+%2f%3e%0d%0a++++++++++++++++%3cColSpan+%2f%3e%0d%0a++++++++++++++++%3cFormat%3eGeneral%3c%2fFormat%3e%0d%0a++++++++++++++++%3cWidth%3e13.5%3c%2fWidth%3e%0d%0a++++++++++++++++%3cText%3e%2f%3c%2fText%3e%0d%0a++++++++++++++++%3cHeight%3e11.25%3c%2fHeight%3e%0d%0a++++++++++++++++%3cAlign%3eCenter%3c%2fAlign%3e%0d%0a++++++++++++++++%3cVerticalAlign+%2f%3e%0d%0a++++++++++++++++%3cCellHasFormula%3eFalse%3c%2fCellHasFormula%3e%0d%0a++++++++++++++++%3cFontName%3eCalibri%3c%2fFontName%3e%0d%0a++++++++++++++++%3cWrapText%3eFalse%3c%2fWrapText%3e%0d%0a++++++++++++++++%3cFontSize%3e8%3c%2fFontSize%3e%0d%0a++++++++++++++++%3cX%3e6%3c%2fX%3e%0d%0a++++++++++++++++%3cY%3e15%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23%2c%23%230%3c%2fFormat%3e%0d%0a++++++++++++++++%3cWidth%3e51%3c%2fWidth%3e%0d%0a++++++++++++++++%3cText+%2f%3e%0d%0a++++++++++++++++%3cHeight%3e11.25%3c%2fHeight%3e%0d%0a++++++++++++++++%3cAlign%3eLeft%3c%2fAlign%3e%0d%0a++++++++++++++++%3cVerticalAlign+%2f%3e%0d%0a++++++++++++++++%3cCellHasFormula%3eTrue%3c%2fCellHasFormula%3e%0d%0a++++++++++++++++%3cFontName%3eCalibri%3c%2fFontName%3e%0d%0a++++++++++++++++%3cWrapText%3eFalse%3c%2fWrapText%3e%0d%0a++++++++++++++++%3cFontSize%3e8%3c%2fFontSize%3e%0d%0a++++++++++++++++%3cX%3e7%3c%2fX%3e%0d%0a++++++++++++++++%3cY%3e15%3c%2fY%3e%0d%0a++++++++++++++++%3cImages+%2f%3e%0d%0a++++++++++++++++%3cFormControls+%2f%3e%0d%0a++++++++++++++++%3cGrid+%2f%3e%0d%0a++++++++++++++++%3cExportPage+%2f%3e%0d%0a++++++++++++++++%3cExportRange+%2f%3e%0d%0a++++++++++++++++%3cMaps+%2f%3e%0d%0a++++++++++++++%3c%2fTD%3e%0d%0a++++++++++++++%3cTD%3e%0d%0a++++++++++++++++%3cPSCFormated%3efalse%3c%2fPSCFormated%3e%0d%0a++++++++++++++++%3cStyle%3eClass61%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15%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15%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15%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15%3c%2fY%3e%0d%0a++++++++++++++++%3cImages+%2f%3e%0d%0a++++++++++++++++%3cFormControls+%2f%3e%0d%0a++++++++++++++++%3cGrid+%2f%3e%0d%0a++++++++++++++++%3cExportPage+%2f%3e%0d%0a++++++++++++++++%3cExportRange+%2f%3e%0d%0a++++++++++++++++%3cMaps+%2f%3e%0d%0a++++++++++++++%3c%2fTD%3e%0d%0a++++++++++++++%3cTD%3e%0d%0a++++++++++++++++%3cPSCFormated%3efalse%3c%2fPSCFormated%3e%0d%0a++++++++++++++++%3cStyle%3eClass63%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15%3c%2fY%3e%0d%0a++++++++++++++++%3cImages+%2f%3e%0d%0a++++++++++++++++%3cFormControls+%2f%3e%0d%0a++++++++++++++++%3cGrid+%2f%3e%0d%0a++++++++++++++++%3cExportPage+%2f%3e%0d%0a++++++++++++++++%3cExportRange+%2f%3e%0d%0a++++++++++++++++%3cMaps+%2f%3e%0d%0a++++++++++++++%3c%2fTD%3e%0d%0a++++++++++++++%3cTD%3e%0d%0a++++++++++++++++%3cPSCFormated%3efalse%3c%2fPSCFormated%3e%0d%0a++++++++++++++++%3cStyle%3eClass62%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15%3c%2fY%3e%0d%0a++++++++++++++++%3cImages+%2f%3e%0d%0a++++++++++++++++%3cFormControls+%2f%3e%0d%0a++++++++++++++++%3cGrid+%2f%3e%0d%0a++++++++++++++++%3cExportPage+%2f%3e%0d%0a++++++++++++++++%3cExportRange+%2f%3e%0d%0a++++++++++++++++%3cMaps+%2f%3e%0d%0a++++++++++++++%3c%2fTD%3e%0d%0a++++++++++++++%3cTD%3e%0d%0a++++++++++++++++%3cPSCFormated%3efalse%3c%2fPSCFormated%3e%0d%0a++++++++++++++++%3cS</t>
  </si>
  <si>
    <t xml:space="preserve"> tyle%3eClass57%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15%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15%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15%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15%3c%2fY%3e%0d%0a++++++++++++++++%3cImages+%2f%3e%0d%0a++++++++++++++++%3cFormControls+%2f%3e%0d%0a++++++++++++++++%3cGrid+%2f%3e%0d%0a++++++++++++++++%3cExportPage+%2f%3e%0d%0a++++++++++++++++%3cExportRange+%2f%3e%0d%0a++++++++++++++++%3cMaps+%2f%3e%0d%0a++++++++++++++%3c%2fTD%3e%0d%0a++++++++++++++%3cTD%3e%0d%0a++++++++++++++++%3cPSCFormated%3efalse%3c%2fPSCFormated%3e%0d%0a++++++++++++++++%3cStyle%3eClass64%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15%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15%3c%2fY%3e%0d%0a++++++++++++++++%3cImages+%2f%3e%0d%0a++++++++++++++++%3cFormControls+%2f%3e%0d%0a++++++++++++++++%3cGrid+%2f%3e%0d%0a++++++++++++++++%3cExportPage+%2f%3e%0d%0a++++++++++++++++%3cExportRange+%2f%3e%0d%0a++++++++++++++++%3cMaps+%2f%3e%0d%0a++++++++++++++%3c%2fTD%3e%0d%0a++++++++++++++%3cTD%3e%0d%0a++++++++++++++++%3cPSCFormated%3efalse%3c%2fPSCFormated%3e%0d%0a++++++++++++++++%3cStyle%3eClass65%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15%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15%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16%3c%2fY%3e%0d%0a++++++++++++++++%3cImages+%2f%3e%0d%0a++++++++++++++++%3cFormControls+%2f%3e%0d%0a++++++++++++++++%3cGrid+%2f%3e%0d%0a++++++++++++++++%3cExportPage+%2f%3e%0d%0a++++++++++++++++%3cExportRange+%2f%3e%0d%0a++++++++++++++++%3cMaps+%2f%3e%0d%0a++++++++++++++%3c%2fTD%3e%0d%0a++++++++++++++%3cTD%3e%0d%0a++++++++++++++++%3cPSCFormated%3efalse%3c%2fPSCFormated%3e%0d%0a++++++++++++++++%3cStyle%3eClass64%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2%3c%2fX%3e%0d%0a++++++++++++++++%3cY%3e16%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16%3c%2fY%3e%0d%0a++++++++++++++++%3cImages+%2f%3e%0d%0a++++++++++++++++%3cFormControls+%2f%3e%0d%0a++++++++++++++++%3cGrid+%2f%3e%0d%0a++++++++++++++++%3cExportPage+%2f%3e%0d%0a++++++++++++++++%3cExportRange+%2f%3e%0d%0a++++++++++++++++%3cMaps+%2f%3e%0d%0a++++++++++++++%3c%2fTD%3e%0d%0a++++++++++++++%3cTD%3e%0d%0a++++++++++++++++%3cPSCFormated%3efalse%3c%2fPSCFormated%3e%0d%0a++++++++++++++++%3cStyle%3eClass45%3c%2fStyle%3e%0d%0a++++++++++++++++%3cMerge%3eFalse%3c%2fMerge%3e%0d%0a++++++++++++++++%3cRowSpan+%2f%3e%0d%0a++++++++++++++++%3cColSpan+%2f%3e%0d%0a++++++++++++++++%3cFormat%3eGeneral%3c%2fFormat%3e%0d%0a++++++++++++++++%3cWidth%3e13.5%3c%2fWidth%3e%0d%0a++++++++++++++++%3cText%3eFC%3c%2fText%3e%0d%0a++++++++++++++++%3cHeight%3e11.25%3c%2fHeight%3e%0d%0a++++++++++++++++%3cAlign%3eCenter%3c%2fAlign%3e%0d%0a++++++++++++++++%3cVerticalAlign+%2f%3e%0d%0a++++++++++++++++%3cCellHasFormula%3eFalse%3c%2fCellHasFormula%3e%0d%0a++++++++++++++++%3cFontName%3eCalibri%3c%2fFontName%3e%0d%0a++++++++++++++++%3cWrapText%3eFalse%3c%2fWrapText%3e%0d%0a++++++++++++++++%3cFontSize%3e8%3c%2fFontSize%3e%0d%0a++++++++++++++++%3cX%3e4%3c%2fX%3e%0d%0a++++++++++++++++%3cY%3e16%3c%2fY%3e%0d%0a++++++++++++++++%3cImages+%2f%3e%0d%0a++++++++++++++++%3cFormControls+%2f%3e%0d%0a++++++++++++++++%3cGrid+%2f%3e%0d%0a++++++++++++++++%3cExportPage+%2f%3e%0d%0a++++++++++++++++%3cExportRange+%2f%3e%0d%0a++++++++++++++++%3cMaps+%2f%3e%0d%0a++++++++++++++%3c%2fTD%3e%0d%0a++++++++++++++%3cTD%3e%0d%0a++++++++++++++++%3cPSCFormated%3efalse%3c%2fPSCFormated%3e%0d%0a++++++++++++++++%3cStyle%3eClass66%3c%2fStyle%3e%0d%0a++++++++++++++++%3cMerge%3eFalse%3c%2fMerge%3e%0d%0a++++++++++++++++%3cRowSpan+%2f%3e%0d%0a++++++++++++++++%3cColSpan+%2f%3e%0d%0a++++++++++++++++%3cFormat%3e%23%2c%23%230%3c%2fFormat%3e%0d%0a++++++++++++++++%3cWidth%3e45.75%3c%2fWidth%3e%0d%0a++++++++++++++++%3cText+%2f%3e%0d%0a++++++++++++++++%3cHeight%3e11.25%3c%2fHeight%3e%0d%0a++++++++++++++++%3cAlign%3eRight%3c%2fAlign%3e%0d%0a++++++++++++++++%3cVerticalAlign+%2f%3e%0d%0a++++++++++++++++%3cCellHasFormula%3eTrue%3c%2fCellHasFormula%3e%0d%0a++++++++++++++++%3cFontName%3eCalibri%3c%2fFontName%3e%0d%0a++++++++++++++++%3cWrapText%3eFalse%3c%2fWrapText%3e%0d%0a++++++++++++++++%3cFontSize%3e8%3c%2fFontSize%3e%0d%0a++++++++++++++++%3cX%3e5%3c%2fX%3e%0d%0a++++++++++++++++%3cY%3e16%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16%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23%2c%23%230%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16%3c%2fY%3e%0d%0a++++++++++++++++%3cImages+%2f%3e%0d%0a++++++++++++++++%3cFormControls+%2f%3e%0d%0a++++++++++++++++%3cGrid+%2f%3e%0d%0a++++++++++++++++%3cExportPage+%2f%3e%0d%0a++++++++++++++++%3cExportRange+%2f%3e%0d%0a++++++++++++++++%3cMaps+%2f%3e%0d%0a++++++++++++++%3c%2fTD%3e%0d%0a++++++++++++++%3cTD%3e%0d%0a++++++++++++++++%3cPSCFormated%3efalse%3c%2fPSCFormated%3e%0d%0a++++++++++++++++%3cStyle%3eClass47%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16%3c%2fY%3e%0d%0a++++++++++++++++%3cImages+%2f%3e%0d%0a++++++++++++++++%3cFormControls+%2f%3e%0d%0a++++++++++++++++%3cGrid+%2f%3e%0d%0a++++++++++++++++%3cExportPage+%2f%3e%0d%0a++++++++++++++++%3cExportRange+%2f%3e%0d%0a++++++++++++++++%3cMaps+%2f%3e%0d%0a++++++++++++++%3c%2fTD%3e%0d%0a++++++++++++++%3cTD%3e%0d%0a++++++++++++++++%3cPSCFormated%3efalse%3c%2fPSCFormated%3e%0d%0a++++++++++++++++%3cStyle%3eClass67%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16%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16%3c%2fY%3e%0d%0a++++++++++++++++%3cImages+%2f%3e%0d%0a++++++++++++++++%3cFormControls+%2f%3e%0d%0a++++++++++++++++%3cGrid+%2f%3e%0d%0a++++++++++++++++%3cExportPage+%2f%3e%0d%0a++++++++++++++++%3cExportRange+%2f%3e%0d%0a++++++++++++++++%3cMaps+%2f%3e%0d%0a++++++++++++++%3c%2fTD%3e%0d%0a++++++++++++++%3cTD%3e%0d%0a++++++++++++++++%3cPSCFormated%3efalse%3c%2fPSCFormated%3e%0d%0a++++++++++++++++%3cStyle%3eClass65%3c%2fStyle%3e%0d%0a++++++++++++++++%3cMerge%3eFalse%3c%2fMerge%3e%0d%0a++++++++++++++++%3cRowSpan+%2f%3e%0d%0a++++++++++++++++%3cColSpan+%2f%3e%0d%0a++++++++++++++++%3cFormat%3e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16%3c%2fY%3e%0d%0a++++++++++++++++%3cImages+%2f%3e%0d%0a++++++++++++++++%3cFormControls+%2f%3e%0d%0a++++++++++++++++%3cGrid+%2f%3e%0d%0a++++++++++++++++%3cExportPage+%2f%3e%0d%0a++++++++++++++++%3cExportRange+%2f%3e%0d%0a++++++++++++++++%3cMaps+%2f%3e%0d%0a++++++++++++++%3c%2fTD%3e%0d%0a++++++++++++++%3cTD%3e%0d%0a++++++++++++++++%3cPSCFormated%3efalse%3c%2fPSCFormated%3e%0d%0a++++++++++++++++%3cStyle%3eClass50%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16%3c%2fY%3e%0d%0a++++++++++++++++%3cImages+%2f%3e%0d%0a++++++++++++++++%3cFormControls+%2f%3e%0d%0a++++++++++++++++%3cGrid+%2f%3e%0d%0a++++++++++++++++%3cExportPage+%2f%3e%0d%0a++++++++++++++++%3cExportRange+%2f%3e%0d%0a++++++++++++++++%3cMaps+%2f%3e%0d%0a++++++++++++++%3c%2fTD%3e%0d%0a++++++++++++++%3cTD%3e%0d%0a++++++++++++++++%3cPSCFormated%3efalse%3c%2fPSCFormated%3e%0d%0a++++++++++++++++%3cStyle%3eClass67%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16%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16%3c%2fY%3e%0d%0a++++++++++++++++%3cImages+%2f%3e%0d%0a++++++++++++++++%3cFormControls+%2f%3e%0d%0a++++++++++++++++%3cGrid+%2f%3e%0d%0a++++++++++++++++%3cExportPage+%2f%3e%0d%0a++++++++++++++++%3cExportRange+%2f%3e%0d%0a++++++++++++++++%3cMaps+%2f%3e%0d%0a++++++++++++++%3c%2fTD%3e%0d%0a++++++++++++++%3cTD%3e%0d%0a++++++++++++++++%3cPSCFormated%3efalse%3c%2fPSCFormated%3e%0d%0a++++++++++++++++%3cStyle%3eClass65%3c%2fStyle%3e%0d%0a++++++++++++++++%3cMerge%3eFalse%3c%2fMerge%3e%0d%0a++++++++++++++++%3cRowSpan+%2f%3e%0d%0a++++++++++++++++%3cColSpan+%2f%3e%0d%0a++++++++++++++++%3cFormat%3e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16%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16%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16%3c%2fY%3e%0d%0a++++++++++++++++%3cImages+%2f%3e%0d%0a++++++++++++++++%3cFormControls+%2f%3e%0d%0a++++++++++++++++%3cGrid+%2f%3e%0d%0a++++++++++++++++%3cExportPage+%2f%3e%0d%0a++++++++++++++++%3cExportRange+%2f%3e%0d%0a++++++++++++++++%3cMaps+%2f%3e%0d%0a++++++++++++++%3c%2fTD%3e%0d%0a++++++++++++++%3cTD%3e%0d%0a++++++++++++++++%3cPSCFormated%3efalse%3c%2fPSCFormated%3e%0d%0a++++++++++++++++%3cStyle%3eClass68%3c%2fStyle%3e%0d%0a++++++++++++++++%3cMerge%3eFalse%3c%2fMerge%3e%0d%0a++++++++++++++++%3cRowSpan+%2f%3e%0d%0a++++++++++++++++%3cColSpan+%2f%3e%0d%0a++++++++++++++++%3cFormat%3eGeneral%3c%2fFormat%3e%0d%0a++++++++++++++++%3cWidth%3e13.5%3c%2fWidth%3e%0d%0a++++++++++++++++%3cText%3e++Eng+LLp+Stub+%24%3c%2fText%3e%0d%0a++++++++++++++++%3cHeight%3e11.25%3c%2fHeight%3e%0d%0a++++++++++++++++%3cAlign%3eLeft%3c%2fAlign%3e%0d%0a++++++++++++++++%3cVerticalAlign+%2f%3e%0d%0a++++++++++++++++%3cCellHasFormula%3eFalse%3c%2fCellHasFormula%3e%0d%0a++++++++++++++++%3cFontName%3eCalibri%3c%2fFontName%3e%0d%0a++++++++++++++++%3cWrapText%3eFalse%3c%2fWrapText%3e%0d%0a++++++++++++++++%3cFontSize%3e8%3c%2fFontSize%3e%0d%0a++++++++++++++++%3cX%3e18%3c%2fX%3e%0d%0a++++++++++++++++%3cY%3e16%3c%2fY%3e%0d%0a++++++++++++++++%3cImages+%2f%3e%0d%0a++++++++++++++++%3cFormControls+%2f%3e%0d%0a++++++++++++++++%3cGrid+%2f%3e%0d%0a++++++++++++++++%3cExportPage+%2f%3e%0d%0a++++++++++++++++%3cExportRange+%2f%3e%0d%0a++++++++++++++++%3cMaps+%2f%3e%0d%0a++++++++++++++%3c%2fTD%3e%0d%0a++++++++++++++%3cTD%3e%0d%0a++++++++++++++++%3cPSCFormated%3efalse%3c%2fPSCFormated%3e%0d%0a++++++++++++++++%3cStyle%3eClass69%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16%3c%2fY%3e%0d%0a++++++++++++++++%3cImages+%2f%3e%0d%0a++++++++++++++++%3cFormControls+%2f%3e%0d%0a++++++++++++++++%3cGrid+%2f%3e%0d%0a++++++++++++++++%3cExportPage+%2f%3e%0d%0a++++++++++++++++%3cExportRange+%2f%3e%0d%0a++++++++++++++++%3cMaps+%2f%3e%0d%0a++++++++++++++%3c%2fTD%3e%0d%0a++++++++++++++%3cTD%3e%0d%0a++++++++++++++++%3cPSCFormated%3efalse%3c%2fPSCFormated%3e%0d%0a++++++++++++++++%3cStyle%3eClass70%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16%3c%2fY%3e%0d%0a++++++++++++++++%3cImages+%2f%3e%0d%0a++++++++++++++++%3cFormControls+%2f%3e%0d%0a++++++++++++++++%3cGrid+%2f%3e%0d%0a++++++++++++++++%3cExportPage+%2f%3e%0d%0a++++++++++++++++%3cExportRange+%2f%3e%0d%0a++++++++++++++++%3cMaps+%2f%3e%0d%0a++++++++++++++%3c%2fTD%3e%0d%0a++++++++++++++%3cTD%3e%0d%0a++++++++++++++++%3cPSCFormated%3efalse%3c%2fPSCFormated%3e%0d%0a++++++</t>
  </si>
  <si>
    <t xml:space="preserve"> ++++++++++%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16%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40%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17%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3e++Totals%3c%2fText%3e%0d%0a++++++++++++++++%3cHeight%3e11.25%3c%2fHeight%3e%0d%0a++++++++++++++++%3cAlign%3eLeft%3c%2fAlign%3e%0d%0a++++++++++++++++%3cVerticalAlign+%2f%3e%0d%0a++++++++++++++++%3cCellHasFormula%3eFalse%3c%2fCellHasFormula%3e%0d%0a++++++++++++++++%3cFontName%3eCalibri%3c%2fFontName%3e%0d%0a++++++++++++++++%3cWrapText%3eFalse%3c%2fWrapText%3e%0d%0a++++++++++++++++%3cFontSize%3e8%3c%2fFontSize%3e%0d%0a++++++++++++++++%3cX%3e2%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Calibri%3c%2fFontName%3e%0d%0a++++++++++++++++%3cWrapText%3eFalse%3c%2fWrapText%3e%0d%0a++++++++++++++++%3cFontSize%3e8%3c%2fFontSize%3e%0d%0a++++++++++++++++%3cX%3e3%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4%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Calibri%3c%2fFontName%3e%0d%0a++++++++++++++++%3cWrapText%3eFalse%3c%2fWrapText%3e%0d%0a++++++++++++++++%3cFontSize%3e8%3c%2fFontSize%3e%0d%0a++++++++++++++++%3cX%3e5%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6%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7%3c%2fX%3e%0d%0a++++++++++++++++%3cY%3e17%3c%2fY%3e%0d%0a++++++++++++++++%3cImages+%2f%3e%0d%0a++++++++++++++++%3cFormControls+%2f%3e%0d%0a++++++++++++++++%3cGrid+%2f%3e%0d%0a++++++++++++++++%3cExportPage+%2f%3e%0d%0a++++++++++++++++%3cExportRange+%2f%3e%0d%0a++++++++++++++++%3cMaps+%2f%3e%0d%0a++++++++++++++%3c%2fTD%3e%0d%0a++++++++++++++%3cTD%3e%0d%0a++++++++++++++++%3cPSCFormated%3efalse%3c%2fPSCFormated%3e%0d%0a++++++++++++++++%3cStyle%3eClass72%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8%3c%2fX%3e%0d%0a++++++++++++++++%3cY%3e17%3c%2fY%3e%0d%0a++++++++++++++++%3cImages+%2f%3e%0d%0a++++++++++++++++%3cFormControls+%2f%3e%0d%0a++++++++++++++++%3cGrid+%2f%3e%0d%0a++++++++++++++++%3cExportPage+%2f%3e%0d%0a++++++++++++++++%3cExportRange+%2f%3e%0d%0a++++++++++++++++%3cMaps+%2f%3e%0d%0a++++++++++++++%3c%2fTD%3e%0d%0a++++++++++++++%3cTD%3e%0d%0a++++++++++++++++%3cPSCFormated%3efalse%3c%2fPSCFormated%3e%0d%0a++++++++++++++++%3cStyle%3eClass36%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9%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Calibri%3c%2fFontName%3e%0d%0a++++++++++++++++%3cWrapText%3eFalse%3c%2fWrapText%3e%0d%0a++++++++++++++++%3cFontSize%3e8%3c%2fFontSize%3e%0d%0a++++++++++++++++%3cX%3e10%3c%2fX%3e%0d%0a++++++++++++++++%3cY%3e17%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23%2c%23%230.00%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11%3c%2fX%3e%0d%0a++++++++++++++++%3cY%3e17%3c%2fY%3e%0d%0a++++++++++++++++%3cImages+%2f%3e%0d%0a++++++++++++++++%3cFormControls+%2f%3e%0d%0a++++++++++++++++%3cGrid+%2f%3e%0d%0a++++++++++++++++%3cExportPage+%2f%3e%0d%0a++++++++++++++++%3cExportRange+%2f%3e%0d%0a++++++++++++++++%3cMaps+%2f%3e%0d%0a++++++++++++++%3c%2fTD%3e%0d%0a++++++++++++++%3cTD%3e%0d%0a++++++++++++++++%3cPSCFormated%3efalse%3c%2fPSCFormated%3e%0d%0a++++++++++++++++%3cStyle%3eClass73%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12%3c%2fX%3e%0d%0a++++++++++++++++%3cY%3e17%3c%2fY%3e%0d%0a++++++++++++++++%3cImages+%2f%3e%0d%0a++++++++++++++++%3cFormControls+%2f%3e%0d%0a++++++++++++++++%3cGrid+%2f%3e%0d%0a++++++++++++++++%3cExportPage+%2f%3e%0d%0a++++++++++++++++%3cExportRange+%2f%3e%0d%0a++++++++++++++++%3cMaps+%2f%3e%0d%0a++++++++++++++%3c%2fTD%3e%0d%0a++++++++++++++%3cTD%3e%0d%0a++++++++++++++++%3cPSCFormated%3efalse%3c%2fPSCFormated%3e%0d%0a++++++++++++++++%3cStyle%3eClass36%3c%2fStyle%3e%0d%0a++++++++++++++++%3cMerge%3eFalse%3c%2fMerge%3e%0d%0a++++++++++++++++%3cRowSpan+%2f%3e%0d%0a++++++++++++++++%3cColSpan+%2f%3e%0d%0a++++++++++++++++%3cFormat%3e%23%2c%23%230%3c%2fFormat%3e%0d%0a++++++++++++++++%3cWidth%3e51%3c%2fWidth%3e%0d%0a++++++++++++++++%3cText+%2f%3e%0d%0a++++++++++++++++%3cHeight%3e11.25%3c%2fHeight%3e%0d%0a++++++++++++++++%3cAlign%3eCenter%3c%2fAlign%3e%0d%0a++++++++++++++++%3cVerticalAlign+%2f%3e%0d%0a++++++++++++++++%3cCellHasFormula%3eTrue%3c%2fCellHasFormula%3e%0d%0a++++++++++++++++%3cFontName%3eCalibri%3c%2fFontName%3e%0d%0a++++++++++++++++%3cWrapText%3eFalse%3c%2fWrapText%3e%0d%0a++++++++++++++++%3cFontSize%3e8%3c%2fFontSize%3e%0d%0a++++++++++++++++%3cX%3e13%3c%2fX%3e%0d%0a++++++++++++++++%3cY%3e17%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Calibri%3c%2fFontName%3e%0d%0a++++++++++++++++%3cWrapText%3eFalse%3c%2fWrapText%3e%0d%0a++++++++++++++++%3cFontSize%3e8%3c%2fFontSize%3e%0d%0a++++++++++++++++%3cX%3e14%3c%2fX%3e%0d%0a++++++++++++++++%3cY%3e17%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23%2c%23%230.00%3c%2fFormat%3e%0d%0a++++++++++++++++%3cWidth%3e45.75%3c%2fWidth%3e%0d%0a++++++++++++++++%3cText+%2f%3e%0d%0a++++++++++++++++%3cHeight%3e11.25%3c%2fHeight%3e%0d%0a++++++++++++++++%3cAlign%3eCenter%3c%2fAlign%3e%0d%0a++++++++++++++++%3cVerticalAlign+%2f%3e%0d%0a++++++++++++++++%3cCellHasFormula%3eTrue%3c%2fCellHasFormula%3e%0d%0a++++++++++++++++%3cFontName%3eCalibri%3c%2fFontName%3e%0d%0a++++++++++++++++%3cWrapText%3eFalse%3c%2fWrapText%3e%0d%0a++++++++++++++++%3cFontSize%3e8%3c%2fFontSize%3e%0d%0a++++++++++++++++%3cX%3e15%3c%2fX%3e%0d%0a++++++++++++++++%3cY%3e17%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17%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17%3c%2fY%3e%0d%0a++++++++++++++++%3cImages+%2f%3e%0d%0a++++++++++++++++%3cFormControls+%2f%3e%0d%0a++++++++++++++++%3cGrid+%2f%3e%0d%0a++++++++++++++++%3cExportPage+%2f%3e%0d%0a++++++++++++++++%3cExportRange+%2f%3e%0d%0a++++++++++++++++%3cMaps+%2f%3e%0d%0a++++++++++++++%3c%2fTD%3e%0d%0a++++++++++++++%3cTD%3e%0d%0a++++++++++++++++%3cPSCFormated%3efalse%3c%2fPSCFormated%3e%0d%0a++++++++++++++++%3cStyle%3eClass74%3c%2fStyle%3e%0d%0a++++++++++++++++%3cMerge%3eFalse%3c%2fMerge%3e%0d%0a++++++++++++++++%3cRowSpan+%2f%3e%0d%0a++++++++++++++++%3cColSpan+%2f%3e%0d%0a++++++++++++++++%3cFormat%3eGeneral%3c%2fFormat%3e%0d%0a++++++++++++++++%3cWidth%3e13.5%3c%2fWidth%3e%0d%0a++++++++++++++++%3cText%3e++Eng+LLp+Stub+%25%3c%2fText%3e%0d%0a++++++++++++++++%3cHeight%3e11.25%3c%2fHeight%3e%0d%0a++++++++++++++++%3cAlign%3eLeft%3c%2fAlign%3e%0d%0a++++++++++++++++%3cVerticalAlign+%2f%3e%0d%0a++++++++++++++++%3cCellHasFormula%3eFalse%3c%2fCellHasFormula%3e%0d%0a++++++++++++++++%3cFontName%3eCalibri%3c%2fFontName%3e%0d%0a++++++++++++++++%3cWrapText%3eFalse%3c%2fWrapText%3e%0d%0a++++++++++++++++%3cFontSize%3e8%3c%2fFontSize%3e%0d%0a++++++++++++++++%3cX%3e18%3c%2fX%3e%0d%0a++++++++++++++++%3cY%3e17%3c%2fY%3e%0d%0a++++++++++++++++%3cImages+%2f%3e%0d%0a++++++++++++++++%3cFormControls+%2f%3e%0d%0a++++++++++++++++%3cGrid+%2f%3e%0d%0a++++++++++++++++%3cExportPage+%2f%3e%0d%0a++++++++++++++++%3cExportRange+%2f%3e%0d%0a++++++++++++++++%3cMaps+%2f%3e%0d%0a++++++++++++++%3c%2fTD%3e%0d%0a++++++++++++++%3cTD%3e%0d%0a++++++++++++++++%3cPSCFormated%3efalse%3c%2fPSCFormated%3e%0d%0a++++++++++++++++%3cStyle%3eClass75%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17%3c%2fY%3e%0d%0a++++++++++++++++%3cImages+%2f%3e%0d%0a++++++++++++++++%3cFormControls+%2f%3e%0d%0a++++++++++++++++%3cGrid+%2f%3e%0d%0a++++++++++++++++%3cExportPage+%2f%3e%0d%0a++++++++++++++++%3cExportRange+%2f%3e%0d%0a++++++++++++++++%3cMaps+%2f%3e%0d%0a++++++++++++++%3c%2fTD%3e%0d%0a++++++++++++++%3cTD%3e%0d%0a++++++++++++++++%3cPSCFormated%3efalse%3c%2fPSCFormated%3e%0d%0a++++++++++++++++%3cStyle%3eClass76%3c%2fStyle%3e%0d%0a++++++++++++++++%3cMerge%3eFalse%3c%2fMerge%3e%0d%0a++++++++++++++++%3cRowSpan+%2f%3e%0d%0a++++++++++++++++%3cColSpan+%2f%3e%0d%0a++++++++++++++++%3cFormat%3e0%25%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17%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17%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77%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18%3c%2fY%3e%0d%0a++++++++++++++++%3cImages+%2f%3e%0d%0a++++++++++++++++%3cFormControls+%2f%3e%0d%0a++++++++++++++++%3cGrid+%2f%3e%0d%0a++++++++++++++++%3cExportPage+%2f%3e%0d%0a++++++++++++++++%3cExportRange+</t>
  </si>
  <si>
    <t xml:space="preserve"> %2f%3e%0d%0a++++++++++++++++%3cMaps+%2f%3e%0d%0a++++++++++++++%3c%2fTD%3e%0d%0a++++++++++++++%3cTD%3e%0d%0a++++++++++++++++%3cPSCFormated%3efalse%3c%2fPSCFormated%3e%0d%0a++++++++++++++++%3cStyle%3eClass78%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18%3c%2fY%3e%0d%0a++++++++++++++++%3cImages+%2f%3e%0d%0a++++++++++++++++%3cFormControls+%2f%3e%0d%0a++++++++++++++++%3cGrid+%2f%3e%0d%0a++++++++++++++++%3cExportPage+%2f%3e%0d%0a++++++++++++++++%3cExportRange+%2f%3e%0d%0a++++++++++++++++%3cMaps+%2f%3e%0d%0a++++++++++++++%3c%2fTD%3e%0d%0a++++++++++++++%3cTD%3e%0d%0a++++++++++++++++%3cPSCFormated%3efalse%3c%2fPSCFormated%3e%0d%0a++++++++++++++++%3cStyle%3eClass78%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18%3c%2fY%3e%0d%0a++++++++++++++++%3cImages+%2f%3e%0d%0a++++++++++++++++%3cFormControls+%2f%3e%0d%0a++++++++++++++++%3cGrid+%2f%3e%0d%0a++++++++++++++++%3cExportPage+%2f%3e%0d%0a++++++++++++++++%3cExportRange+%2f%3e%0d%0a++++++++++++++++%3cMaps+%2f%3e%0d%0a++++++++++++++%3c%2fTD%3e%0d%0a++++++++++++++%3cTD%3e%0d%0a++++++++++++++++%3cPSCFormated%3efalse%3c%2fPSCFormated%3e%0d%0a++++++++++++++++%3cStyle%3eClass79%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18%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18%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18%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18%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18%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18%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25%3c%2fStyle%3e%0d%0a++++++++++++++++%3cMerge%3eFalse%3c%2fMerge%3e%0d%0a++++++++++++++++%3cRowSpan+%2f%3e%0d%0a++++++++++++++++%3cColSpan+%2f%3e%0d%0a++++++++++++++++%3cFormat%3eGeneral%3c%2fFormat%3e%0d%0a++++++++++++++++%3cWidth%3e50.25%3c%2fWidth%3e%0d%0a++++++++++++++++%3cText%3e++MAINTENANCE+RESIDUAL+%26amp%3b+COST+FORECAST%3c%2fText%3e%0d%0a++++++++++++++++%3cHeight%3e11.25%3c%2fHeight%3e%0d%0a++++++++++++++++%3cAlign%3eLeft%3c%2fAlign%3e%0d%0a++++++++++++++++%3cVerticalAlign+%2f%3e%0d%0a++++++++++++++++%3cCellHasFormula%3eFalse%3c%2fCellHasFormula%3e%0d%0a++++++++++++++++%3cFontName%3eArial%3c%2fFontName%3e%0d%0a++++++++++++++++%3cWrapText%3eFalse%3c%2fWrapText%3e%0d%0a++++++++++++++++%3cFontSize%3e8%3c%2fFontSize%3e%0d%0a++++++++++++++++%3cX%3e1%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19%3c%2fY%3e%0d%0a++++++++++++++++%3cImages+%2f%3e%0d%0a++++++++++++++++%3cFormControls+%2f%3e%0d%0a++++++++++++++++%3cGrid+%2f%3e%0d%0a++++++++++++++++%3cExportPage+%2f%3e%0d%0a++++++++++++++++%3cExportRange+%2f%3e%0d%0a++++++++++++</t>
  </si>
  <si>
    <t xml:space="preserve"> ++++%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19%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19%3c%2fY%3e%0d%0a++++++++++++++++%3cImages+%2f%3e%0d%0a++++++++++++++++%3cFormControls+%2f%3e%0d%0a++++++++++++++++%3cGrid+%2f%3e%0d%0a++++++++++++++++%3cExportPage+%2f%3e%0d%0a++++++++++++++++%3cExportRange+%2f%3e%0d%0a++++++++++++++++%3cMaps+%2f%3e%0d%0a++++++++++++++%3c%2fTD%3e%0d%0a++++++++++++++%3cTD%3e%0d%0a++++++++++++++++%3cPSCFormated%3efalse%3c%2fPSCFormated%3e%0d%0a++++++++++++++++%3cStyle%3eClass27%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19%3c%2fY%3e%0d%0a++++++++++++++++%3cImages+%2f%3e%0d%0a++++++++++++++++%3cFormControls+%2f%3e%0d%0a++++++++++++++++%3cGrid+%2f%3e%0d%0a++++++++++++++++%3cExportPage+%2f%3e%0d%0a++++++++++++++++%3cExportRange+%2f%3e%0d%0a++++++++++++++++%3cMaps+%2f%3e%0d%0a++++++++++++++%3c%2fTD%3e%0d%0a++++++++++++++%3cTD%3e%0d%0a++++++++++++++++%3cPSCFormated%3efalse%3c%2fPSCFormated%3e%0d%0a++++++++++++++++%3cStyle%3eClass31%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19%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19%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19%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19%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19%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28%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20%3c%2fY%3e%0d%0a++++++++++++++++%3cImages+%2f%3e%0d%0a++++++++++++++++%3cFormControls+%2f%3e%0d%0a++++++++++++++++%3cGrid+%2f%3e%0d%0a++++++++++++++++%3cExportPage+%2f%3e%0d%0a++++++++++++++++%3cExportRange+%2f%3e%0d%0a++++++++++++++++%3cMaps+%2f%3e%0d%0a++++++++++++++%3c%2fTD%3e%0d%0a++++++++++++++%3cTD%3e%0d%0a++++++++++++++++%3cPSCFormated%3efalse%3c%2fPSCFormated%3e%0d%0a++++++++++++++++%3cStyle%3eClass82%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20%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20%3c%2fY%3e%0d%0a++++++++++++++++%3cImages+%2f%3e%0d%0a++++++++++++++++%3cFormControls+%2f%3e%0d%0a++++++++++++++++%3cGrid+%2f%3e%0d%0a++++++++++++++++%3cExportPage+%2f%3e%0d%0a++++++++++++++++%3cExportRange+%2f%3e%0d%0a++++++++++++++++%3cMaps+%2f%3e%0d%0a++++++++++++++%3c%2fTD%3e%0d%0a++++++++++++++%3cTD%3e%0d%0a++++++++++++++++%3cPSCFormated%3efalse%3c%2fPSCFormated%3e%0d%0a++++++++++++++++%3cStyle%3eClass28%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20%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20%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20%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20%3c%2fY%3e%0d%0a++++++++++++++++%3cImages+%2f%3e%0d%0a++++++++++++++++%3cFormControls+%2f%3e%0d%0a++++++++++++++++%3cGrid+%2f%3e%0d%0a++++++++++++++++%3cExportPage+%2f%3e%0d%0a++++++++++++++++%3cExportRange+%2f%3e%0d%0a++++++++++++++++%3cMaps+%2f%3e%0d%0a++++++++++++++%3c%2fTD%3e%0d%0a++++++++++++++%3cTD%3e%0d%0a++++++++++++++++%3cPSCF</t>
  </si>
  <si>
    <t xml:space="preserve"> ormated%3efalse%3c%2fPSCFormated%3e%0d%0a++++++++++++++++%3cStyle%3eClass30%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20%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21%3c%2fY%3e%0d%0a++++++++++++++++%3cImages+%2f%3e%0d%0a++++++++++++++++%3cFormControls+%2f%3e%0d%0a++++++++++++++++%3cGrid+%2f%3e%0d%0a++++++++++++++++%3cExportPage+%2f%3e%0d%0a++++++++++++++++%3cExportRange+%2f%3e%0d%0a++++++++++++++++%3cMaps+%2f%3e%0d%0a++++++++++++++%3c%2fTD%3e%0d%0a++++++++++++++%3cTD%3e%0d%0a++++++++++++++++%3cPSCFormated%3efalse%3c%2fPSCFormated%3e%0d%0a++++++++++++++++%3cStyle%3eClass83%3c%2fStyle%3e%0d%0a++++++++++++++++%3cMerge%3eFalse%3c%2fMerge%3e%0d%0a++++++++++++++++%3cRowSpan+%2f%3e%0d%0a++++++++++++++++%3cColSpan+%2f%3e%0d%0a++++++++++++++++%3cFormat%3eGeneral%3c%2fFormat%3e%0d%0a++++++++++++++++%3cWidth%3e51%3c%2fWidth%3e%0d%0a++++++++++++++++%3cText%3eChart+Options+%3a%3c%2fText%3e%0d%0a++++++++++++++++%3cHeight%3e12%3c%2fHeight%3e%0d%0a++++++++++++++++%3cAlign%3eLeft%3c%2fAlign%3e%0d%0a++++++++++++++++%3cVerticalAlign+%2f%3e%0d%0a++++++++++++++++%3cCellHasFormula%3eFalse%3c%2fCellHasFormula%3e%0d%0a++++++++++++++++%3cFontName%3eCalibri%3c%2fFontName%3e%0d%0a++++++++++++++++%3cWrapText%3eFalse%3c%2fWrapText%3e%0d%0a++++++++++++++++%3cFontSize%3e9%3c%2fFontSize%3e%0d%0a++++++++++++++++%3cX%3e7%3c%2fX%3e%0d%0a++++++++++++++++%3cY%3e21%3c%2fY%3e%0d%0a++++++++++++++++%3cImages+%2f%3e%0d%0a++++++++++++++++%3cFormControls+%2f%3e%0d%0a++++++++++++++++%3cGrid+%2f%3e%0d%0a++++++++++++++++%3cExportPage+%2f%3e%0d%0a++++++++++++++++%3cExportRange+%2f%3e%0d%0a++++++++++++++++%3cMaps+%2f%3e%0d%0a++++++++++++++%3c%2fTD%3e%0d%0a++++++++++++++%3cTD%3e%0d%0a++++++++++++++++%3cPSCFormated%3efalse%3c%2fPSCFormated%3e%0d%0a++++++++++++++++%3cStyle%3eClass84%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21%3c%2fY%3e%0d%0a++++++++++++++++%3cImages+%2f%3e%0d%0a++++++++++++++++%3cFormControls+%2f%3e%0d%0a++++++++++++++++%3cGrid+%2f%3e%0d%0a++++++++++++++++%3cExportPage+%2f%3e%0d%0a++++++++++++++++%3cExportRange+%2f%3e%0d%0a++++++++++++++++%3cMaps+%2f%3e%0d%0a++++++++++++++%3c%2fTD%3e%0d%0a++++++++++++++%3cTD%3e%0d%0a++++++++++++++++%3cPSCFormated%3efalse%3c%2fPSCFormated%3e%0d%0a++++++++++++++++%3cStyle%3eClass20%3c%2fStyle%3e%0d%0a++++++++++++++++%3cMerge%3eFalse%3c%2fMerge%3e%0d%0a++++++++++++++++%3cRowSpan+%2f%3e%0d%0a++++++++++++++++%3cColSpan+%2f%3e%0d%0a++++++++++++++++%3cFormat%3e%23%2c%23%230%3c%2fFormat%3e%0d%0a++++++++++++++++%3cWidth%3e51%3c%2fWidth%3e%0d%0a++++++++++++++++%3cText%3eAll%3c%2fText%3e%0d%0a++++++++++++++++%3cHeight%3e12%3c%2fHeight%3e%0d%0a++++++++++++++++%3cAlign%3eLeft%3c%2fAlign%3e%0d%0a++++++++++++++++%3cVerticalAlign+%2f%3e%0d%0a++++++++++++++++%3cCellHasFormula%3eFalse%3c%2fCellHasFormula%3e%0d%0a++++++++++++++++%3cFontName%3eArial%3c%2fFontName%3e%0d%0a++++++++++++++++%3cWrapText%3eFalse%3c%2fWrapText%3e%0d%0a++++++++++++++++%3cFontSize%3e8%3c%2fFontSize%3e%0d%0a++++++++++++++++%3cX%3e9%3c%2fX%3e%0d%0a++++++++++++++++%3cY%3e21%3c%2fY%3e%0d%0a++++++++++++++++%3cImages+%2f%3e%0d%0a++++++++++++++++%3cFormControls+%2f%3e%0d%0a++++++++++++++++%3cGrid+%2f%3e%0d%0a++++++++++++++++%3cExportPage+%2f%3e%0d%0a++++++++++++++++%3cExportRange+%2f%3e%0d%0a++++++++++++++++%3cValidation%3e%0d%0a++++++++++++++++++%3cAlertStyle%3exlValidAlertStop%3c%2fAlertStyle%3e%0d%0a++++++++++++++++++%3cFormula1%3e%3d%24AI%2410%3a%24AI%2412%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85%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21%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21%3c%2fY%3e%0d%0a++++++++++++++++%3cImages+%2f%3e%0d%0a++++++++++++++++%3cFormControls+%2f%3e%0d%0a++++++++++++++++%3cGrid+%2f%3e%0d%0a++++++++++++++++%3cExportPage+%2f%3e%0d%0a++++++++++++++++%3cExportRange+%2f%3e%0d%0a++++++++++++++++%3cMaps+%2f%3e%0d%0a++++++++++++++%3c%2fTD%3e%0d%0a++++++++++++++%3cTD%3e%0d%0a++++++++++++++++%3cPSCFormated%3efalse%3c%2fPSCFormated%3e%0d%0a++++++++++++++++%3cStyle%3eClass86%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8%3c%2fFontSize%3e%0d%0a++++++++++++++++%3cX%3e13%3c%2fX%3e%0d%0a++++++++++++++++%3cY%3e21%3c%2fY%3e%0d%0a++++++++++++++++%3cImages+%2f%3e%0d%0a++++++++++++++++%3cFormControls+%2f%3e%0d%0a++++++++++++++++%3cGrid+%2f%3e%0d%0a++++++++++++++++%3cExportPage+%2f%3e%0d%0a++++++++++++++++%3cExportRange+%2f%3e%0d%0a++++++++++++++++%3cMaps+%2f%3e%0d%0a++++++++++++++%3c%2fTD%3e%0d%0a++++++++++++++%3cTD%3e%0d%0a++++++++++++++++%3cPSCFormated%3efalse%3c%2fPSCFormated%3e%0d%0a++++++++++++++++%3cStyle%3eClass87%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21%3c%2fY%3e%0d%0a++++++++++++++++%3cImages+%2f%3e%0d%0a++++++++++++++++%3cFormControls+%2f%3e%0d%0a++++++++++++++++%3cGrid+%2f%3e%0d%0a++++++++++++++++%3cExportPage+%2f%3e%0d%0a++++++++++++++++%3cExportRange+%2f%3e%0d%0a++++++++++++++++%3cMaps+%2f%3e%0d%0a++++++++++++++%3c%2fTD%3e%0d%0a++++++++++++++%3cTD%3e%0d%0a++++++++++++++++%3cPSCFormated%3efalse%3c%2fPSCFormated%3e%0d%0a++++++++++++++++%3cStyle%3eClass88%3c%2fStyle%3e%0d%0a++++++++++++++++%3cMerge%3eFalse%3c%2fMerge%3e%0d%0a++++++++++++++++%3cRowSpan+%2f%3e%0d%0a++++++++++++++++%3cColSpan+%2f%3e%0d%0a++++++++++++++++%3cFormat%3e0%25%3c%2fFormat%3e%0d%0a++++++++++++++++%3cWidth%3e45.75%3c%2fWidth%3e%0d%0a++++++++++++++++%3cText+%2f%3e%0d%0a++++++++++++++++%3cHeight%3e12%3c%2fHeight%3e%0d%0a++++++++++++++++%3cAlign%3eCenter%3c%2fAlign%3e%0d%0a++++++++++++++++%3cVerticalAlign+%2f%3e%0d%0a++++++++++++++++%3cCellHasFormula%3eFalse%3c%2fCellHasFormula%3e%0d%0a++++++++++++++++%3cFontName%3eCalibri%3c%2fFontName%3e%0d%0a++++++++++++++++%3cWrapText%3eFalse%3c%2fWrapText%3e%0d%0a++++++++++++++++%3cFontSize%3e8%3c%2fFontSize%3e%0d%0a++++++++++++++++%3cX%3e15%3c%2fX%3e%0d%0a++++++++++++++++%3cY%3e21%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21%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17%3c%2fX%3e%0d%0a++++++++++++++++%3cY%3e21%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120%3c%2fWidth%3e%0d%0a++++++++++++++++%3cText%3eMx+Half-Time+Adjustments%3c%2fText%3e%0d%0a++++++++++++++++%3cHeight%3e12%3c%2fHeight%3e%0d%0a++++++++++++++++%3cAlign%3eCenter%3c%2fAlign%3e%0d%0a++++++++++++++++%3cVerticalAlign+%2f%3e%0d%0a++++++++++++++++%3cCellHasFormula%3eFalse%3c%2fCellHasFormula%3e%0d%0a++++++++++++++++%3cFontName%3eCalibri%3c%2fFontName%3e%0d%0a++++++++++++++++%3cWrapText%3eFalse%3c%2fWrapText%3e%0d%0a++++++++++++++++%3cFontSize%3e8%3c%2fFontSize%3e%0d%0a++++++++++++++++%3cX%3e18%3c%2fX%3e%0d%0a++++++++++++++++%3cY%3e21%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Arial%3c%2fFontName%3e%0d%0a++++++++++++++++%3cWrapText%3eFalse%3c%2fWrapText%3e%0d%0a++++++++++++++++%3cFontSize%3e8%3c%2fFontSize%3e%0d%0a++++++++++++++++%3cX%3e21%3c%2fX%3e%0d%0a++++++++++++++++%3cY%3e21%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22%3c%2fY%3e%0d%0a++++++++++++++++%3cImages+%2f%3e%0d%0a++++++++++++++++%3cFormControls+%2f%3e%0d%0a++++++++++++++++%3cGrid+%2f%3e%0d%0a++++++++++++++++%3cChart%3e%0d%0a++++++++++++++++++%3cNameIndex%3e0%3c%2fNameIndex%3e%0d%0a++++++++++++++++++%3cZOrder%3e1%3c%2fZOrder%3e%0d%0a++++++++++++++++++%3cChartType%3e-4111%3c%2fChartType%3e%0d%0a++++++++++++++++++%3cChartHeight%3e137.25%3c%2fChartHeight%3e%0d%0a++++++++++++++++++%3cChartWidth%3e512.25%3c%2fChartWidth%3e%0d%0a++++++++++++++++++%3cPlotHeight%3e127.941102362205%3c%2fPlotHeight%3e%0d%0a++++++++++++++++++%3cPlotWidth%3e490.906456692913%3c%2fPlotWidth%3e%0d%0a++++++++++++++++++%3cPlotTop%3e5.30889763779528%3c%2fPlotTop%3e%0d%0a++++++++++++++++++%3cPlotLeft%3e5.59645669291339%3c%2fPlotLeft%3e%0d%0a++++++++++++++++++%3cPlotColor%3e-1%3c%2fPlotColor%3e%0d%0a++++++++++++++++++%3cWallColor%3e-1%3c%2fWallColor%3e%0d%0a++++++++++++++++++%3cLegendBoxBackColor%3e-65537%3c%2fLegendBoxBackColor%3e%0d%0a++++++++++++++++++%3cLegendBoxTop%3e-2.79574803149606%3c%2fLegendBoxTop%3e%0d%0a++++++++++++++++++%3cLegendBoxLeft%3e81.5657480314961%3c%2fLegendBoxLeft%3e%0d%0a++++++++++++++++++%3cXAxisLabelStep%3e10%3c%2fXAxisLabelStep%3e%0d%0a++++++++++++++++++%3cXAxisTitle+%2f%3e%0d%0a++++++++++++++++++%3cYAxisTitle%3eMaintenance+Residual+-+%25%3c%2fYAxisTitle%3e%0d%0a++++++++++++++++++%3cXAxisHasMajorGrid%3efalse%3c%2fXAxisHasMajorGrid%3e%0d%0a++++++++++++++++++%3cYAxisHasMajorGrid%3etrue%3c%2fYAxisHasMajorGrid%3e%0d%0a++++++++++++++++++%3cXAxisHasMinorGrid%3efalse%3c%2fXAxisHasMinorGrid%3e%0d%0a++++++++++++++++++%3cYAxisHasMinorGrid%3efalse%3c%2fYAxisHasMinorGrid%3e%0d%0a++++++++++++++++++%3cTop%3e0.466666666666667%3c%2fTop%3e%0d%0a++++++++++++++++++%3cLeft%3e0.104477611940299%3c%2fLeft%3e%0d%0a++++++++++++++++++%3cTitle+%2f%3e%0d%0a++++++++++++++++++%3cFont+%2f%3e%0d%0a++++++++++++++++++%3cChartColor%3e-65537%3c%2fChartColor%3e%0d%0a++++++++++++++++++%3cSeriesCollection%3e%0d%0a++++++++++++++++++++%3cSeries%3e%0d%0a++++++++++++++++++++++%3cNameIndex%3e0%3c%2fNameIndex%3e%0d%0a++++++++++++++++++++++%3cName%3eMaintenance+Residuals+-+%25%3c%2fName%3e%0d%0a++++++++++++++++++++++%3cColor%3e-1%3c%2fColor%3e%0d%0a++++++++++++++++++++++%3cBorderColor%3e-11895109%3c%2fBorderColor%3e%0d%0a++++++++++++++++++++%3c%2fSeries%3e%0d%0a++++++++++++++++++++%3cSeries%3e%0d%0a++++++++++++++++++++++%3cNameIndex%3e1%3c%2fNameIndex%3e%0d%0a++++++++++++++++++++++%3cName%3eMaintenance+Costs+-+%24M%3c%2fName%3e%0d%0a++++++++++++++++++++++%3cColor%3e-1%3c%2fColor%3e%0d%0a++++++++++++++++++++++%3cBorderColor%3e-4306104%3c%2fBorderColor%3e%0d%0a++++++++++++++++++++%3c%2fSeries%3e%0d%0a++++++++++++++++++%3c%2fSeriesCollection%3e%0d%0a++++++++++++++++++%3cLegendPosition+%2f%3e%0d%0a++++++++++++++++++%3cHasLegend%3etrue%3c%2fHasLegend%3e%0d%0a++++++++++++++++++%3cTopLeftRangeAddress%3e%3d'Mx+FORECAST'!%24B%2423%3c%2fTopLeftRangeAddress%3e%0d%0a++++++++++++++++++%3cAbsoluteTop%3e232.5%3c%2fAbsoluteTop%3e%0d%0a++++++++++++++++++%3cAbsoluteLeft%3e5.25%3c%2fAbsoluteLeft%3e%0d%0a++++++++++++++++%3c%2fChart%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22%3c%2fY%3e%0d%0a++++++++++++++++%3cImages+%2f%3e%0d%0a++++++++++++++++%3cFormControls+%2f%3e%0d%0a++++++++++++++++%3cGrid+%2f%3e%0d%0a++++++++++++++++%3cExportPage+%2f%3e%0d%0a++++++++++++++++%3cExportR</t>
  </si>
  <si>
    <t xml:space="preserve"> 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22%3c%2fY%3e%0d%0a++++++++++++++++%3cImages+%2f%3e%0d%0a++++++++++++++++%3cFormControls+%2f%3e%0d%0a++++++++++++++++%3cGrid+%2f%3e%0d%0a++++++++++++++++%3cExportPage+%2f%3e%0d%0a++++++++++++++++%3cExportRange+%2f%3e%0d%0a++++++++++++++++%3cMaps+%2f%3e%0d%0a++++++++++++++%3c%2fTD%3e%0d%0a++++++++++++++%3cTD%3e%0d%0a++++++++++++++++%3cPSCFormated%3efalse%3c%2fPSCFormated%3e%0d%0a++++++++++++++++%3cStyle%3eClass89%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22%3c%2fY%3e%0d%0a++++++++++++++++%3cImages+%2f%3e%0d%0a++++++++++++++++%3cFormControls+%2f%3e%0d%0a++++++++++++++++%3cGrid+%2f%3e%0d%0a++++++++++++++++%3cExportPage+%2f%3e%0d%0a++++++++++++++++%3cExportRange+%2f%3e%0d%0a++++++++++++++++%3cMaps+%2f%3e%0d%0a++++++++++++++%3c%2fTD%3e%0d%0a++++++++++++++%3cTD%3e%0d%0a++++++++++++++++%3cPSCFormated%3efalse%3c%2fPSCFormated%3e%0d%0a++++++++++++++++%3cStyle%3eClass86%3c%2fStyle%3e%0d%0a++++++++++++++++%3cMerge%3eFalse%3c%2fMerge%3e%0d%0a++++++++++++++++%3cRowSpan+%2f%3e%0d%0a++++++++++++++++%3cColSpan+%2f%3e%0d%0a++++++++++++++++%3cFormat%3eGeneral%3c%2fFormat%3e%0d%0a++++++++++++++++%3cWidth%3e51%3c%2fWidth%3e%0d%0a++++++++++++++++%3cText+%2f%3e%0d%0a++++++++++++++++%3cHeight%3e11.25%3c%2fHeight%3e%0d%0a++++++++++++++++%3cAlign%3eRight%3c%2fAlign%3e%0d%0a++++++++++++++++%3cVerticalAlign+%2f%3e%0d%0a++++++++++++++++%3cCellHasFormula%3eFalse%3c%2fCellHasFormula%3e%0d%0a++++++++++++++++%3cFontName%3eCalibri%3c%2fFontName%3e%0d%0a++++++++++++++++%3cWrapText%3eFalse%3c%2fWrapText%3e%0d%0a++++++++++++++++%3cFontSize%3e8%3c%2fFontSize%3e%0d%0a++++++++++++++++%3cX%3e13%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22%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22%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22%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3e++Event%3c%2fText%3e%0d%0a++++++++++++++++%3cHeight%3e11.25%3c%2fHeight%3e%0d%0a++++++++++++++++%3cAlign%3eLeft%3c%2fAlign%3e%0d%0a++++++++++++++++%3cVerticalAlign+%2f%3e%0d%0a++++++++++++++++%3cCellHasFormula%3eFalse%3c%2fCellHasFormula%3e%0d%0a++++++++++++++++%3cFontName%3eCalibri%3c%2fFontName%3e%0d%0a++++++++++++++++%3cWrapText%3eFalse%3c%2fWrapText%3e%0d%0a++++++++++++++++%3cFontSize%3e8%3c%2fFontSize%3e%0d%0a++++++++++++++++%3cX%3e18%3c%2fX%3e%0d%0a++++++++++++++++%3cY%3e22%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22%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General%3c%2fFormat%3e%0d%0a++++++++++++++++%3cWidth%3e55.5%3c%2fWidth%3e%0d%0a++++++++++++++++%3cText%3eAdjust+%24%3c%2fText%3e%0d%0a++++++++++++++++%3cHeight%3e11.25%3c%2fHeight%3e%0d%0a++++++++++++++++%3cAlign%3eCenter%3c%2fAlign%3e%0d%0a++++++++++++++++%3cVerticalAlign+%2f%3e%0d%0a++++++++++++++++%3cCellHasFormula%3eFalse%3c%2fCellHasFormula%3e%0d%0a++++++++++++++++%3cFontName%3eCalibri%3c%2fFontName%3e%0d%0a++++++++++++++++%3cWrapText%3eFalse%3c%2fWrapText%3e%0d%0a++++++++++++++++%3cFontSize%3e8%3c%2fFontSize%3e%0d%0a++++++++++++++++%3cX%3e20%3c%2fX%3e%0d%0a++++++++++++++++%3cY%3e22%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22%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23%3c%2fY%3e%0d%0a++++++++++++++++%3cImages+%2f%3e%0d%0a++++++++++++++++%3cFormControls+%2f%3e%0d%0a++++++++++++++++%3cGrid+%2f%3e%0d%0a++++++++++++++++%3cExportPage+%2f%3e%0d%0a++++++++++++++++%3cExportRange+%2f%3e%0d%0a++++++++++++++++%3cMaps+%2f%3e%0d%0a+++++++++++</t>
  </si>
  <si>
    <t xml:space="preserve"> +++%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23%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23%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23%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23%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23%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23%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23%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24%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24%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24%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24%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24%3c%2fY%3e%0d%0a++++++++++++++++%3cImages+%2f%3e%0d%0a++++++++++++++++%3cFormControls+%2f%3e%0d%0a++++++++++++++++%3cGrid+%2f%3e%0d%0a++++++++++++++++%3cExportPage+%2f%3e%0d%0a++++++++++++++++%3cExportRange+%2f%3e%0d%0a++++++++++++++++%3cMaps+%2f%3e%0d%0a++++++++++++++%3c%2fTD%3e%0d%0a++++++++++++++%3cTD%3e%0d%0a++++++++++++++++%3cPSCFor</t>
  </si>
  <si>
    <t xml:space="preserve"> mated%3efalse%3c%2fPSCFormated%3e%0d%0a++++++++++++++++%3cStyle%3eClass58%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24%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24%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25%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25%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25%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25%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25%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25%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25%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26%3c%2fY%3e%0d%0a++++++++++++++++%3cImages+%2f%3e%0d%0a++++++++++++++++%3cFormControls+%2f%3e%0d%0a++++++++++++++++%3cGrid+%2f%3e%0d%0a++++++++++++++++%3cExportPage+%2f%3e%0d%0a++++++++++++++++%3cExportRange+%2f%3</t>
  </si>
  <si>
    <t xml:space="preserve"> 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26%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26%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26%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26%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26%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26%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26%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27%3c%2fY%3e%0d%0a++++++++++++++++%3cImages+%2f%3e%0d%0a++++++++++++++++%3cFormControls+%2f%3e%0d%0a++++++++++++++++%3cGrid+%2f%3e%0d%0a++++++++++++++++%3cExportPage+%2f%3e%0d%0a++++++++++++++++%3cExportRange+%2f%3e%0d%0a++++++++++++++++%3cMaps+%2f%3e%0d%0a++++++++++++++%3c%2fTD%3e%0d%0a++++</t>
  </si>
  <si>
    <t xml:space="preserve"> ++++++++++%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27%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27%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27%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27%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27%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27%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27%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28%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28%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28%3c%2fY%3e%0d%0a++++++++++++++++%3cImages+%2f%3e%0d%0a++++++++++++++++%3cFormControls+%2f%3e%0d%0a++++++++++++++++%3cGrid+%2f%3e%0d%0a++++++++++++++++%3cExportPage+%2f%3e%0d%0a++++++++++++++++%3cExportRange+%2f%3e%0d%0a++++++++++++++++%3cMaps+%2f%3e%0d%0a++++++++++++++%3c%2fTD%3e%0d%0a++++++++++++++%3cTD%3e%0d%0a++++++++++++++++%3cPSCFormated%3efalse%3c%2fPSCFormated%3e%0d%0a++++++++++++++++%3cStyle%3eClass64%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28%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28%3c%2fY%3e%0d%0a++++++++++++++++%3cImages+%2f%3e%0d%0a++++++++++++++++%3cFormControls+%2f%3e%0d%0a++++++++++++++++%3cGrid+%2f%3e%0d%0a++++++++++++++++%3cExportPage+%2f%3e%0d%0a++++++++++++++++%3cExportRange+%2f%3e%0d%0a++++++++++++++++%3cMaps+%2f%3e%0d%0a++++++++++++++%3c%2fTD%3e%0d%0a++++++++++++++%3cTD%3e%0d%0a++++++++++++++++%3cPSCFormated%3efalse%3c%2fPSCFo</t>
  </si>
  <si>
    <t xml:space="preserve"> rmated%3e%0d%0a++++++++++++++++%3cStyle%3eClass65%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28%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28%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29%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29%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29%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29%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29%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29%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23%2c%23%230_)%3b(%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29%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29%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30%3c%2fY%3e%0d%0a++++++++++++++++%3cImages+%2f%3e%0d%0a++++++++++++++++%3cFormControls+%2f%3e%0d%0a++++++++++++++++%3cGrid+%2f%3e%0d%0a++++++++++++++++%3cExportPage+%2f%3e%0d%0a++++++++++++++++%3cExportRange+%2f%3e%0d%0a++++++++++++++++%3cMaps+%2f%3e%0</t>
  </si>
  <si>
    <t xml:space="preserve"> 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30%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30%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30%3c%2fY%3e%0d%0a++++++++++++++++%3cImages+%2f%3e%0d%0a++++++++++++++++%3cFormControls+%2f%3e%0d%0a++++++++++++++++%3cGrid+%2f%3e%0d%0a++++++++++++++++%3cExportPage+%2f%3e%0d%0a++++++++++++++++%3cExportRange+%2f%3e%0d%0a++++++++++++++++%3cMaps+%2f%3e%0d%0a++++++++++++++%3c%2fTD%3e%0d%0a++++++++++++++%3cTD%3e%0d%0a++++++++++++++++%3cPSCFormated%3efalse%3c%2fPSCFormated%3e%0d%0a++++++++++++++++%3cStyle%3eClass31%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17%3c%2fX%3e%0d%0a++++++++++++++++%3cY%3e30%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18%3c%2fX%3e%0d%0a++++++++++++++++%3cY%3e30%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19%3c%2fX%3e%0d%0a++++++++++++++++%3cY%3e30%3c%2fY%3e%0d%0a++++++++++++++++%3cImages+%2f%3e%0d%0a++++++++++++++++%3cFormControls+%2f%3e%0d%0a++++++++++++++++%3cGrid+%2f%3e%0d%0a++++++++++++++++%3cExportPage+%2f%3e%0d%0a++++++++++++++++%3cExportRange+%2f%3e%0d%0a++++++++++++++++%3cMaps+%2f%3e%0d%0a++++++++++++++%3c%2fTD%3e%0d%0a++++++++++++++%3cTD%3e%0d%0a++++++++++++++++%3cPSCFormated%3efalse%3c%2fPSCFormated%3e%0d%0a++++++++++++++++%3cStyle%3eClass80%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Arial%3c%2fFontName%3e%0d%0a++++++++++++++++%3cWrapText%3eFalse%3c%2fWrapText%3e%0d%0a++++++++++++++++%3cFontSize%3e8%3c%2fFontSize%3e%0d%0a++++++++++++++++%3cX%3e20%3c%2fX%3e%0d%0a++++++++++++++++%3cY%3e30%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Arial%3c%2fFontName%3e%0d%0a++++++++++++++++%3cWrapText%3eFalse%3c%2fWrapText%3e%0d%0a++++++++++++++++%3cFontSize%3e8%3c%2fFontSize%3e%0d%0a++++++++++++++++%3cX%3e21%3c%2fX%3e%0d%0a++++++++++++++++%3cY%3e30%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31%3c%2fY%3e%0d%0a++++++++++++++++%3cImages+%2f%3e%0d%0a++++++++++++++++%3cFormControls+%2f%3e%0d%0a++++++++++++++++%3cGrid+%2f%3e%0d%0a++++++++++++++++%3cExportPage+%2f%3e%0d%0a++++++++++++++++%3cExportRange+%2f%3e%0d%0a++++++++++++++++%3cMaps+%2f%3e%0d%0a++++++++++++++%3c%2fTD%3e%0d%0a++++++++++++++%3cTD%3e%0d%0a++++++++++++++++%3cPSCFormated%3efalse%3c%2fPSCFormated%3e%0d%0a++++++++++++++++%3cStyle%3eClas</t>
  </si>
  <si>
    <t xml:space="preserve"> 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31%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31%3c%2fY%3e%0d%0a++++++++++++++++%3cImages+%2f%3e%0d%0a++++++++++++++++%3cFormControls+%2f%3e%0d%0a++++++++++++++++%3cGrid+%2f%3e%0d%0a++++++++++++++++%3cExportPage+%2f%3e%0d%0a++++++++++++++++%3cExportRange+%2f%3e%0d%0a++++++++++++++++%3cMaps+%2f%3e%0d%0a++++++++++++++%3c%2fTD%3e%0d%0a++++++++++++++%3cTD%3e%0d%0a++++++++++++++++%3cPSCFormated%3efalse%3c%2fPSCFormated%3e%0d%0a++++++++++++++++%3cStyle%3eClass31%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31%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18%3c%2fX%3e%0d%0a++++++++++++++++%3cY%3e31%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19%3c%2fX%3e%0d%0a++++++++++++++++%3cY%3e31%3c%2fY%3e%0d%0a++++++++++++++++%3cImages+%2f%3e%0d%0a++++++++++++++++%3cFormControls+%2f%3e%0d%0a++++++++++++++++%3cGrid+%2f%3e%0d%0a++++++++++++++++%3cExportPage+%2f%3e%0d%0a++++++++++++++++%3cExportRange+%2f%3e%0d%0a++++++++++++++++%3cMaps+%2f%3e%0d%0a++++++++++++++%3c%2fTD%3e%0d%0a++++++++++++++%3cTD%3e%0d%0a++++++++++++++++%3cPSCFormated%3efalse%3c%2fPSCFormated%3e%0d%0a++++++++++++++++%3cStyle%3eClass29%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20%3c%2fX%3e%0d%0a++++++++++++++++%3cY%3e31%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31%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14.25%3c%2fHeight%3e%0d%0a++++++++++++++++%3cAlign%3eLeft%3c%2fAlign%3e%0d%0a++++++++++++++++%3cVerticalAlign+%2f%3e%0d%0a++++++++++++++++%3cCellHasFormula%3eFalse%3c%2fCellHasFormula%3e%0d%0a++++++++++++++++%3cFontName%3eArial%3c%2fFontName%3e%0d%0a++++++++++++++++%3cWrapText%3eFalse%3c%2fWrapText%3e%0d%0a++++++++++++++++%3cFontSize%3e8%3c%2fFontSize%3e%0d%0a++++++++++++++++%3cX%3e1%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2%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14.25%3c%2fHeight%3e%0d%0a++++++++++++++++%3cAlign%3eLeft%3c%2fAlign%3e%0d%0a++++++++++++++++%3cVerticalAlign+%2f%3e%0d%0a++++++++++++++++%3cCellHasFormula%3eFalse%3c%2fCellHasFormula%3e%0d%0a++++++++++++++++%3cFontName%3eArial%3c%2fFontName%3e%0d%0a++++++++++++++++%3cWrapText%3eFalse%3c%2fWrapText%3e%0d%0a++++++++++++++++%3cFontSize%3e8%3c%2fFontSize%3e%0d%0a++++++++++++++++%3cX%3e3%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4%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14.25%3c%2fHeight%3e%0d%0a++++++++++++++++%3cAlign%3eLeft%3c%2fAlign%3e%0d%0a++++++++++++++++%3cVerticalAlign+%2f%3e%0d%0a++++++++++++++++%3cCellHasFormula%3eFalse%3c%2fCellHasFormula%3e%0d%0a++++++++++++++++%3cFontName%3eArial%3c%2fFontName%3e%0d%0a++++++++++++++++%3cWrapText%3eFalse%3c%2fWrapText%3e%0d%0a++++++++++++++++%3cFontSize%3e8%3c%2fFontSize%3e%0d%0a++++++++++++++++%3cX%3e5%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6%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14.25%3c%2fHeight%3e%0d%0a++++++++++++++++%3cAlign%3eLeft%3c%2fAlign%3e%0d%0a++++++++++++++++%3cVerticalAlign+%2f%3e%0d%0a++++++++++++++++%3cCellHasFormula%3eFalse%3c%2fCellHasFormula%3e%0d%0a++++++++++++++++%3cFontName%3eArial%3c%2fFontName%3e%0d%0a++++++++++++++++%3cWrapText%3eFalse%3c%2fWrapText%3e%0d%0a++++++++++++++++%3cFontSize%3e8%3c%2fFontSize%3e%0d%0a++++++++++++++++%3cX%3e7%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8%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14.25%3c%2fHeight%3e%0d%0a++++++++++++++++%3cAlign%3eLeft%3c%2fAlign%3e%0d%0a++++++++++++++++%3cVerticalAlign+%2f%3e%0d%0a++++++++++++++++%3cCellHasFormula%3eFalse%3c%2fCellHasFormula%3e%0d%0a++++++++++++++++%3cFontName%3eArial%3c%2fFontName%3e%0d%0a++++++++++++++++%3cWrapText%3eFalse%3c%2fWrapText%3e%0d%0a++++++++++++++++%3cFontSize%3e8%3c%2fFontSize%3e%0d%0a++++++++++++++++%3cX%3e9%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14.25%3c%2fHeight%3e%0d%0a++++++++++++++++%3cAlign%3eLeft%3c%2fAlign%3e%0d%0a++++++++++++++++%3cVerticalAlign+%2f%3e%0d%0a++++++++++++++++%3cCellHasFormula%3eFalse%3c%2fCellHasFormula%3e%0d%0a++++++++++++++++%3cFontName%3eArial%3c%2fFontName%3e%0d%0a++++++++++++++++%3cWrapText%3eFalse%3c%2fWrapText%3e%0d%0a++++++++++++++++%3cFontSize%3e8%3c%2fFontSize%3e%0d%0a++++++++++++++++%3cX%3e10%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14.25%3c%2fHeight%3e%0d%0a++++++++++++++++%3cAlign%3eLeft%3c%2fAlign%3e%0d%0a++++++++++++++++%3cVerticalAlign+%2f%3e%0d%0a++++++++++++++++%3cCellHasFormula%3eFalse%3c%2fCellHasFormula%3e%0d%0a++++++++++++++++%3cFontName%3eArial%3c%2fFontName%3e%0d%0a++++++++++++++++%3cWrapText%3eFalse%3c%2fWrapText%3e%0d%0a++++++++++++++++%3cFontSize%3e8%3c%2fFontSize%3e%0d%0a++++++++++++++++%3cX%3e11%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12%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14.25%3c%2fHeight%3e%0d%0a++++++++++++++++%3cAlign%3eLeft%3c%2fAlign%3e%0d%0a++++++++++++++++%3cVerticalAlign+%2f%3e%0d%0a++++++++++++++++%3cCellHasFormula%3eFalse%3c%2fCellHasFormula%3e%0d%0a++++++++++++++++%3cFontName%3eArial%3c%2fFontName%3e%0d%0a++++++++++++++++%3cWrapText%3eFalse%3c%2fWrapText%3e%0d%0a++++++++++++++++%3cFontSize%3e8%3c%2fFontSize%3e%0d%0a++++++++++++++++%3cX%3e13%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14.25%3c%2fHeight%3e%0d%0a++++++++++++++++%3cAlign%3eLeft%3c%2fAlign%3e%0d%0a++++++++++++++++%3cVerticalAlign+%2f%3e%0d%0a++++++++++++++++%3cCellHasFormula%3eFalse%3c%2fCellHasFormula%3e%0d%0a++++++++++++++++%3cFontName%3eArial%3c%2fFontName%3e%0d%0a++++++++++++++++%3cWrapText%3eFalse%3c%2fWrapText%3e%0d%0a++++++++++++++++%3cFontSize%3e8%3c%2fFontSize%3e%0d%0a++++++++++++++++%3cX%3e14%3c%2fX%3e%0d%0a++++++++++++++++%3cY%3e32%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14.25%3c%2fHeight%3e%0d%0a++++++++++++++++%3cAlign%3eLeft%3c%2fAlign%3e%0d%0a++++++++++++++++%3cVerticalAlign+%2f%3e%0d%0a++++++++++++++++%3cCellHasFormula%3eFalse%3c%2fCellHasFormula%3e%0d%0a++++++++++++++++%3cFontName%3eArial%3c%2fFontName%3e%0d%0a++++++++++++++++%3cWrapText%3eFalse%3c%2fWrapText%3e%0d%0a++++++++++++++++%3cFontSize%3e8%3c%2fFontSize%3e%0d%0a++++++++++++++++%3cX%3e15%3c%2fX%3e%0d%0a++++++++++++++++%3cY%3e32%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14.25%3c%2fHeight%3e%0d%0a++++++++++++++++%3cAlign%3eLeft%3c%2fAlign%3e%0d%0a++++++++++++++++%3cVerticalAlign+%2f%3e%0d%0a++++++++++++++++%3cCellHasFormula%3eFalse%3c%2fCellHasFormula%3e%0d%0a++++++++++++++++%3cFontName%3eArial%3c%2fFontName%3e%0d%0a++++++++++++++++%3cWrapText%3eFalse%3c%2fWrapText%3e%0d%0a++++++++++++++++%3cFontSize%3e8%3c%2fFontSize%3e%0d%0a++++++++++++++++%3cX%3e16%3c%2fX%3e%0d%0a++++++++++++++++%3cY%3e32%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14.25%3c%2fHeight%3e%0d%0a++++++++++++++++%3cAlign%3eLeft%3c%2fAlign%3e%0d%0a++++++++++++++++%3cVerticalAlign+%2f%3e%0d%0a++++++++++++++++%3cCellHasFormula%3eFalse%3c%2fCellHasFormula%3e%0d%0a++++++++++++++++%3cFontName%3eArial%3c%2fFontName%3e%0d%0a++++++++++++++++%3cWrapText%3eFalse%3c%2fWrapText%3e%0d%0a++++++++++++++++%3cFontSize%3e8%3c%2fFontSize%3e%0d%0a++++++++++++++++%3cX%3e17%3c%2fX%3e%0d%0a++++++++++++++++%3cY%3e32%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120%3c%2fWidth%3e%0d%0a++++++++++++++++%3cText%3eMx+Interval+Remainig%3c%2fText%3e%0d%0a++++++++++++++++%3cHeight%3e14.25%3c%2fHeight%3e%0d%0a++++++++++++++++%3cAlign%3eCenter%3c%2fAlign%3e%0d%0a++++++++++++++++%3cVerticalAlign+%2f%3e%0d%0a++++++++++++++++%3cCellHasFormula%3eFalse%3c%2fCellHasFormula%3e%0d%0a++++++++++++++++%3cFontName%3eCalibri%3c%2fFontName%3e%0d%0a++++++++++++++++%3cWrapText%3eFalse%3c%2fWrapText%3e%0d%0a++++++++++++++++%3cFontSize%3e8%3c%2fFontSize%3e%0d%0a++++++++++++++++%3cX%3e18%3c%2fX%3e%0d%0a++++++++++++++++%3cY%3e32%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14.25%3c%2fHeight%3e%0d%0a++++++++++++++++%3cAlign%3eLeft%3c%2fAlign%3e%0d%0a++++++++++++++++%3cVerticalAlign+%2f%3e%0d%0a++++++++++++++++%3cCellHasFormula%3eFalse%3c%2fCellHasFormula%3e%0d%0a++++++++++++++++%3cFontName%3eArial%3c%2fFontName%3e%0d%0a++++++++++++++++%3cWrapText%3eFalse%3c%2fWrapText%3e%0d%0a++++++++++++++++%3cFontSize%3e8%3c%2fFontSize%3e%0d%0a++++++++++++++++%3cX%3e21%3c%2fX%3e%0d%0a++++++++++++++++%3cY%3e32%3c%2fY%3e%0d%0a++++++++++++++++%3cImages+%2f%3e%0d%0a++++++++++++++++%3cFormControls+%2f%3e%0d%0a++++++++++++++++%3cGrid+%2f%3e%0d%0a++++++++++++++++%3cExportPage+%2f%3e%0d%0a++++++++++++++++%3cExportRange+%2f%3e%0d%0a++++++++++++++++%3cMaps+%2f%3e%0d%0a++++++++++++++%3c%2fTD%3e%0d%0a++++++++++++%3c%2fTDs%3e%0d%0a++++++++++++%3cIsRowVisible%3etrue%3c%2fIsRowVisible%3e%0d%0a++++++++++%3c%2fTR%3e%0d%0a++++++++++%3cTR%3e%0d%0a++++++++++++%3cTDs%3e%0d%0a++++++++++++++%3</t>
  </si>
  <si>
    <t xml:space="preserve"> 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33%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33%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33%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3e++Event%3c%2fText%3e%0d%0a++++++++++++++++%3cHeight%3e11.25%3c%2fHeight%3e%0d%0a++++++++++++++++%3cAlign%3eLeft%3c%2fAlign%3e%0d%0a++++++++++++++++%3cVerticalAlign+%2f%3e%0d%0a++++++++++++++++%3cCellHasFormula%3eFalse%3c%2fCellHasFormula%3e%0d%0a++++++++++++++++%3cFontName%3eCalibri%3c%2fFontName%3e%0d%0a++++++++++++++++%3cWrapText%3eFalse%3c%2fWrapText%3e%0d%0a++++++++++++++++%3cFontSize%3e8%3c%2fFontSize%3e%0d%0a++++++++++++++++%3cX%3e18%3c%2fX%3e%0d%0a++++++++++++++++%3cY%3e33%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33%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General%3c%2fFormat%3e%0d%0a++++++++++++++++%3cWidth%3e55.5%3c%2fWidth%3e%0d%0a++++++++++++++++%3cText%3eMonths%3c%2fText%3e%0d%0a++++++++++++++++%3cHeight%3e11.25%3c%2fHeight%3e%0d%0a++++++++++++++++%3cAlign%3eCenter%3c%2fAlign%3e%0d%0a++++++++++++++++%3cVerticalAlign+%2f%3e%0d%0a++++++++++++++++%3cCellHasFormula%3eFalse%3c%2fCellHasFormula%3e%0d%0a++++++++++++++++%3cFontName%3eCalibri%3c%2fFontName%3e%0d%0a++++++++++++++++%3cWrapText%3eFalse%3c%2fWrapText%3e%0d%0a++++++++++++++++%3cFontSize%3e8%3c%2fFontSize%3e%0d%0a++++++++++++++++%3cX%3e20%3c%2fX%3e%0d%0a++++++++++++++++%3cY%3e33%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33%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77%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34%3c%2fY%3e%0d%0a++++++++++++++++%3cImages+%2f%3e%0d%0a++++++++++++++++%3cFormControls+%2f%3e%0d%0a++++++++++++++++%3cGrid+%2f%3e%0d%0a++++++++++++++++%3cExportPage+%2f%3e%0d%0a++++++++++++++++%3cExportRange+%2f%3e%0d%0a++++++++++++++++%3cMaps+%2f%3e%0d%0a++++++++++++++%3c%2fTD%3e%0d%0a++++++++++++++%3cTD%3e%0d%0a++++++++++++++++%3cPSCFormated%3efalse%3c%2fPSCFormated%</t>
  </si>
  <si>
    <t xml:space="preserve"> 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34%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34%3c%2fY%3e%0d%0a++++++++++++++++%3cImages+%2f%3e%0d%0a++++++++++++++++%3cFormControls+%2f%3e%0d%0a++++++++++++++++%3cGrid+%2f%3e%0d%0a++++++++++++++++%3cExportPage+%2f%3e%0d%0a++++++++++++++++%3cExportRange+%2f%3e%0d%0a++++++++++++++++%3cMaps+%2f%3e%0d%0a++++++++++++++%3c%2fTD%3e%0d%0a++++++++++++++%3cTD%3e%0d%0a++++++++++++++++%3cPSCFormated%3efalse%3c%2fPSCFormated%3e%0d%0a++++++++++++++++%3cStyle%3eClass79%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34%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34%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34%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34%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34%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34%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25%3c%2fStyle%3e%0d%0a++++++++++++++++%3cMerge%3eFalse%3c%2fMerge%3e%0d%0a++++++++++++++++%3cRowSpan+%2f%3e%0d%0a++++++++++++++++%3cColSpan+%2f%3e%0d%0a++++++++++++++++%3cFormat%3eGeneral%3c%2fFormat%3e%0d%0a++++++++++++++++%3cWidth%3e50.25%3c%2fWidth%3e%0d%0a++++++++++++++++%3cText%3e++MAINTENANCE+HALF-TIME+FORECAST%3c%2fText%3e%0d%0a++++++++++++++++%3cHeight%3e11.25%3c%2fHeight%3e%0d%0a++++++++++++++++%3cAlign%3eLeft%3c%2fAlign%3e%0d%0a++++++++++++++++%3cVerticalAlign+%2f%3e%0d%0a++++++++++++++++%3cCellHasFormula%3eFalse%3c%2fCellHasFormula%3e%0d%0a++++++++++++++++%3cFontName%3eArial%3c%2fFontName%3e%0d%0a++++++++++++++++%3cWrapText%3eFalse%3c%2fWrapText%3e%0d%0a++++++++++++++++%3cFontSize%3e8%3c%2fFontSize%3e%0d%0a++++++++++++++++%3cX%3e1%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35%3c%2fY%3e%0d%0a++++++++++++++++%3cImages+%2f%3e%0d%0a++++++++++++++++%3cFormControls+%2f%3e%0d%0a++++++++++++++++%3cGrid+%2f%3e%0d%0a++++++++++++++++%3cExportPage+%2f%3e%0d%0a++++++++++++++++%3cExportRange+%2f%3e%0d%0a++++++++++++++++%3cMaps+%2f%3e%0d%0a++++++++++++++%3c%2fTD%3e%0d%0a++++++++++++++%3cTD%3e%0d%0a++++++++++++++++%3cPSCFormated%3efalse%3c%2fPSCFormated%3e%0d%0a++++++++++++++++%3cStyle%3eClass26%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35%3c%2fY%3e%0d%0a++++++++++++++++%3cImages+%2f%3e%0d%0a++++++++++++++++%3cFormControls+%2f%3e%0d%0a++++++++++++++++%3cGrid+%2f%3e%0d%0a++++++++++++++++%3cExportPage+%2f%3e%0d%0a++++++++++++++++%3cExportRange+%2f%3e%0d%0a++++++++++++++++%3cMaps+%2f%3e%0d%0a++++++++++++++%3c%2fTD%3e%0d%0a++++++++++++++%3cTD%3e%0d%0a++++++++++++++++%3cPSCFormated%3efalse%3c%2fPSCFormated%3e%0d%0a++++++++++++++++%3cStyle%3eClass26%3c%2fStyle%3</t>
  </si>
  <si>
    <t xml:space="preserve"> 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35%3c%2fY%3e%0d%0a++++++++++++++++%3cImages+%2f%3e%0d%0a++++++++++++++++%3cFormControls+%2f%3e%0d%0a++++++++++++++++%3cGrid+%2f%3e%0d%0a++++++++++++++++%3cExportPage+%2f%3e%0d%0a++++++++++++++++%3cExportRange+%2f%3e%0d%0a++++++++++++++++%3cMaps+%2f%3e%0d%0a++++++++++++++%3c%2fTD%3e%0d%0a++++++++++++++%3cTD%3e%0d%0a++++++++++++++++%3cPSCFormated%3efalse%3c%2fPSCFormated%3e%0d%0a++++++++++++++++%3cStyle%3eClass27%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35%3c%2fY%3e%0d%0a++++++++++++++++%3cImages+%2f%3e%0d%0a++++++++++++++++%3cFormControls+%2f%3e%0d%0a++++++++++++++++%3cGrid+%2f%3e%0d%0a++++++++++++++++%3cExportPage+%2f%3e%0d%0a++++++++++++++++%3cExportRange+%2f%3e%0d%0a++++++++++++++++%3cMaps+%2f%3e%0d%0a++++++++++++++%3c%2fTD%3e%0d%0a++++++++++++++%3cTD%3e%0d%0a++++++++++++++++%3cPSCFormated%3efalse%3c%2fPSCFormated%3e%0d%0a++++++++++++++++%3cStyle%3eClass40%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17%3c%2fX%3e%0d%0a++++++++++++++++%3cY%3e35%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35%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35%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35%3c%2fY%3e%0d%0a++++++++++++++++%3cImages+%2f%3e%0d%0a++++++++++++++++%3cFormControls+%2f%3e%0d%0a++++++++++++++++%3cGrid+%2f%3e%0d%0a++++++++++++++++%3cExportPage+%2f%3e%0d%0a++++++++++++++++%3cExportRange+%2f%3e%0d%0a++++++++++++++++%3cMaps+%2f%3e%0d%0a++++++++++++++%3c%2fTD%3e%0d%0a++++++++++++++%3cTD%3e%0d%0a++++++++++++++++%3cPSCFormated%3efalse%3c%2fPSCFormated%3e%0d%0a++++++++++++++++%3cStyle%3eClass38%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Arial%3c%2fFontName%3e%0d%0a++++++++++++++++%3cWrapText%3eFalse%3c%2fWrapText%3e%0d%0a++++++++++++++++%3cFontSize%3e8%3c%2fFontSize%3e%0d%0a++++++++++++++++%3cX%3e21%3c%2fX%3e%0d%0a++++++++++++++++%3cY%3e35%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28%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36%3c%2fY%3e%0d%0a++++++++++++++++%3cImages+%2f%3e%0d%0a++++++++++++++++%3cFormControls+%2f%3e%0d%0a++++++++++++++++%3cGrid+%2f%3e%0d%0a++++++++++++++++%3cExportPage+%2f%3e%0d%0a++++++++++++++++%3cExportRange+%2f%3e%0d%0a++++++++++++++++%3cMaps+%2f%3e%0d%0a++++++++++++++%3c%2fTD%3e%0d%0a++++++++++++++%3cTD%3e%0d%0a++++++++++++++++%3cPSCFormated%3efalse%3c%2fPSCFormated%3e%0d%0a++++++++++++++++%3cStyle%3eClass82%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36%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36%3c%2fY%3e%0d%0a++++++++++++++++%3cImages+%2f%3e%0d%0a++++++++++++++++%3cFormControls+%2f%3e%0d%0a++++++++++++++++%3cGrid+%2f%3e%0d%0a++++++++++++++++%3cExportPage+%2f%3e%0d%0a++++++++++++++++%3cExportRange+%2f%3e%0d%0a++++++++++++++++%3cMaps+%2f%3e%0d%0a++++++++++++++%3c%2fTD%3e%0d%0a++++++++++++++%3cTD%3e%0d%0a++++++++++++++++%3cPSCFormated%3efalse%3c%2fPSCFormated%3e%0d%0a++++++++++++++++%3cStyle%3eClass91%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17%3c%2fX%3e%0d%0a++++++++++++++++%3cY%3e36%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36%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36%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36%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36%3c%2fY%3e%0d%0a++++++++++++++++%3cImages+%2f%3e%0d%0a++++++++++++++++%3cFormControls+%2f%3e%0d%0a++++++++++++++++%3cGrid+%2f%3e%0d%0a++++++++++++++++%3cExportPage+%2f%3e%0d%0a++++++++++++++++%3cExportRange+%2f%3e%0d%0a++++++++++++++++%3cMaps+%2f%3e%0d%0a++++++++++++++%3c%2fTD%3e%0d%0a++++++++++++%3c%2fTDs%3e%0d%0a++++++++++++%3cIsRowVisible%3etrue%3c%2fIsRowVisible%3e%0d%0a++++++++++%3c%2fTR%3e%0d%0a++++++++++%3cTR%3e%0d%0a++++++++++++%3cTDs%3e%0d%0a++++++++++++++%3cTD%3e%0d%0a++++++++++++++++%3cP</t>
  </si>
  <si>
    <t xml:space="preserve"> 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37%3c%2fY%3e%0d%0a++++++++++++++++%3cImages+%2f%3e%0d%0a++++++++++++++++%3cFormControls+%2f%3e%0d%0a++++++++++++++++%3cGrid+%2f%3e%0d%0a++++++++++++++++%3cExportPage+%2f%3e%0d%0a++++++++++++++++%3cExportRange+%2f%3e%0d%0a++++++++++++++++%3cMaps+%2f%3e%0d%0a++++++++++++++%3c%2fTD%3e%0d%0a++++++++++++++%3cTD%3e%0d%0a++++++++++++++++%3cPSCFormated%3efalse%3c%2fPSCFormated%3e%0d%0a++++++++++++++++%3cStyle%3eClass83%3c%2fStyle%3e%0d%0a++++++++++++++++%3cMerge%3eFalse%3c%2fMerge%3e%0d%0a++++++++++++++++%3cRowSpan+%2f%3e%0d%0a++++++++++++++++%3cColSpan+%2f%3e%0d%0a++++++++++++++++%3cFormat%3eGeneral%3c%2fFormat%3e%0d%0a++++++++++++++++%3cWidth%3e51%3c%2fWidth%3e%0d%0a++++++++++++++++%3cText%3eChart+Options+%3a%3c%2fText%3e%0d%0a++++++++++++++++%3cHeight%3e12%3c%2fHeight%3e%0d%0a++++++++++++++++%3cAlign%3eLeft%3c%2fAlign%3e%0d%0a++++++++++++++++%3cVerticalAlign+%2f%3e%0d%0a++++++++++++++++%3cCellHasFormula%3eFalse%3c%2fCellHasFormula%3e%0d%0a++++++++++++++++%3cFontName%3eCalibri%3c%2fFontName%3e%0d%0a++++++++++++++++%3cWrapText%3eFalse%3c%2fWrapText%3e%0d%0a++++++++++++++++%3cFontSize%3e9%3c%2fFontSize%3e%0d%0a++++++++++++++++%3cX%3e7%3c%2fX%3e%0d%0a++++++++++++++++%3cY%3e37%3c%2fY%3e%0d%0a++++++++++++++++%3cImages+%2f%3e%0d%0a++++++++++++++++%3cFormControls+%2f%3e%0d%0a++++++++++++++++%3cGrid+%2f%3e%0d%0a++++++++++++++++%3cExportPage+%2f%3e%0d%0a++++++++++++++++%3cExportRange+%2f%3e%0d%0a++++++++++++++++%3cMaps+%2f%3e%0d%0a++++++++++++++%3c%2fTD%3e%0d%0a++++++++++++++%3cTD%3e%0d%0a++++++++++++++++%3cPSCFormated%3efalse%3c%2fPSCFormated%3e%0d%0a++++++++++++++++%3cStyle%3eClass84%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37%3c%2fY%3e%0d%0a++++++++++++++++%3cImages+%2f%3e%0d%0a++++++++++++++++%3cFormControls+%2f%3e%0d%0a++++++++++++++++%3cGrid+%2f%3e%0d%0a++++++++++++++++%3cExportPage+%2f%3e%0d%0a++++++++++++++++%3cExportRange+%2f%3e%0d%0a++++++++++++++++%3cMaps+%2f%3e%0d%0a++++++++++++++%3c%2fTD%3e%0d%0a++++++++++++++%3cTD%3e%0d%0a++++++++++++++++%3cPSCFormated%3efalse%3c%2fPSCFormated%3e%0d%0a++++++++++++++++%3cStyle%3eClass20%3c%2fStyle%3e%0d%0a++++++++++++++++%3cMerge%3eFalse%3c%2fMerge%3e%0d%0a++++++++++++++++%3cRowSpan+%2f%3e%0d%0a++++++++++++++++%3cColSpan+%2f%3e%0d%0a++++++++++++++++%3cFormat%3e%23%2c%23%230%3c%2fFormat%3e%0d%0a++++++++++++++++%3cWidth%3e51%3c%2fWidth%3e%0d%0a++++++++++++++++%3cText%3eAircraft%3c%2fText%3e%0d%0a++++++++++++++++%3cHeight%3e12%3c%2fHeight%3e%0d%0a++++++++++++++++%3cAlign%3eLeft%3c%2fAlign%3e%0d%0a++++++++++++++++%3cVerticalAlign+%2f%3e%0d%0a++++++++++++++++%3cCellHasFormula%3eFalse%3c%2fCellHasFormula%3e%0d%0a++++++++++++++++%3cFontName%3eArial%3c%2fFontName%3e%0d%0a++++++++++++++++%3cWrapText%3eFalse%3c%2fWrapText%3e%0d%0a++++++++++++++++%3cFontSize%3e8%3c%2fFontSize%3e%0d%0a++++++++++++++++%3cX%3e9%3c%2fX%3e%0d%0a++++++++++++++++%3cY%3e37%3c%2fY%3e%0d%0a++++++++++++++++%3cImages+%2f%3e%0d%0a++++++++++++++++%3cFormControls+%2f%3e%0d%0a++++++++++++++++%3cGrid+%2f%3e%0d%0a++++++++++++++++%3cExportPage+%2f%3e%0d%0a++++++++++++++++%3cExportRange+%2f%3e%0d%0a++++++++++++++++%3cValidation%3e%0d%0a++++++++++++++++++%3cAlertStyle%3exlValidAlertStop%3c%2fAlertStyle%3e%0d%0a++++++++++++++++++%3cFormula1%3e%3d%24AJ%2410%3a%24AJ%2415%3c%2fFormula1%3e%0d%0a++++++++++++++++++%3cFormula2+%2f%3e%0d%0a++++++++++++++++++%3cIgnoreBlank%3etrue%3c%2fIgnoreBlank%3e%0d%0a++++++++++++++++++%3cOperator%3eBetween%3c%2fOperator%3e%0d%0a++++++++++++++++++%3cShowError%3etrue%3c%2fShowError%3e%0d%0a++++++++++++++++++%3cType%3exlValidateList%3c%2fType%3e%0d%0a++++++++++++++++++%3cValue%3etrue%3c%2fValue%3e%0d%0a++++++++++++++++%3c%2fValidation%3e%0d%0a++++++++++++++++%3cMaps+%2f%3e%0d%0a++++++++++++++%3c%2fTD%3e%0d%0a++++++++++++++%3cTD%3e%0d%0a++++++++++++++++%3cPSCFormated%3efalse%3c%2fPSCFormated%3e%0d%0a++++++++++++++++%3cStyle%3eClass85%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37%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37%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37%3c%2fY%3e%0d%0a++++++++++++++++%3cImages+%2f%3e%0d%0a++++++++++++++++%3cFormControls+%2f%3e%0d%0a++++++++++++++++%3cGrid+%2f%3e%0d%0a++++++++++++++++%3cExportPage+%2f%3e%0d%0a++++++++++++++++%3cExportRange+%2f%3e%0d%0a++++++++++++++++%3cMaps+%2f%3e%0d%0a++++++++++++++%3c%2fTD%3e%0d%0a++++++++++++++%3cTD%3e%0d%0a++++++++++++++++%3cPSCFormated%3efalse%3c%2fPSCFormated%3e%0d%0a++++++++++++++++%3cStyle%3eClass39%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17%3c%2fX%3e%0d%0a++++++++++++++++%3cY%3e37%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12%3c%2fHeight%3e%0d%0a++++++++++++++++%3cAlign%3eLeft%3c%2fAlign%3e%0d%0a++++++++++++++++%3cVerticalAlign+%2f%3e%0d%0a++++++++++++++++%3cCellHasFormula%3eTrue%3c%2fCellHasFormula%3e%0d%0a++++++++++++++++%3cFontName%3eCalibri%3c%2fFontName%3e%0d%0a++++++++++++++++%3cWrapText%3eFalse%3c%2fWrapText%3e%0d%0a++++++++++++++++%3cFontSize%3e8%3c%2fFontSize%3e%0d%0a++++++++++++++++%3cX%3e18%3c%2fX%3e%0d%0a++++++++++++++++%3cY%3e37%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19%3c%2fX%3e%0d%0a++++++++++++++++%3cY%3e37%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12%3c%2fHeight%3e%0d%0a++++++++++++++++%3cAlign%3eCenter%3c%2fAlign%3e%0d%0a++++++++++++++++%3cVerticalAlign+%2f%3e%0d%0a++++++++++++++++%3cCellHasFormula%3eTrue%3c%2fCellHasFormula%3e%0d%0a++++++++++++++++%3cFontName%3eCalibri%3c%2fFontName%3e%0d%0a++++++++++++++++%3cWrapText%3eFalse%3c%2fWrapText%3e%0d%0a++++++++++++++++%3cFontSize%3e8%3c%2fFontSize%3e%0d%0a++++++++++++++++%3cX%3e20%3c%2fX%3e%0d%0a++++++++++++++++%3cY%3e37%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21%3c%2fX%3e%0d%0a++++++++++++++++%3cY%3e37%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38%3c%2fY%3e%0d%0a++++++++++++++++%3cImages+%2f%3e%0d%0a++++++++++++++++%3cFormControls+%2f%3e%0d%0a++++++++++++++++%3cGrid+%2f%3e%0d%0a++++++++++++++++%3cChart%3e%0d%0a++++++++++++++++++%3cNameIndex%3e1%3c%2fNameIndex%3e%0d%0a++++++++++++++++++%3cZOrder%3e2%3c%2fZOrder%3e%0d%0a++++++++++++++++++%3cChartType%3exlLine%3c%2fChartType%3e%0d%0a++++++++++++++++++%3cChartHeight%3e144.75%3c%2fChartHeight%3e%0d%0a++++++++++++++++++%3cChartWidth%3e510%3c%2fChartWidth%3e%0d%0a++++++++++++++++++%3cPlotHeight%3e124.733622047244%3c%2fPlotHeight%3e%0d%0a++++++++++++++++++%3cPlotWidth%3e485.432362204724%3c%2fPlotWidth%3e%0d%0a++++++++++++++++++%3cPlotTop%3e12.4237795275591%3c%2fPlotTop%3e%0d%0a++++++++++++++++++%3cPlotLeft%3e11.4973228346457%3c%2fPlotLeft%3e%0d%0a++++++++++++++++++%3cPlotColor%3e-1%3c%2fPlotColor%3e%0d%0a++++++++++++++++++%3cWallColor%3e-1%3c%2fWallColor%3e%0d%0a++++++++++++++++++%3cLegendBoxBackColor%3e-65537%3c%2fLegendBoxBackColor%3e%0d%0a++++++++++++++++++%3cLegendBoxTop%3e-2.04889763779528%3c%2fLegendBoxTop%3e%0d%0a++++++++++++++++++%3cLegendBoxLeft%3e164.27811023622%3c%2fLegendBoxLeft%3e%0d%0a++++++++++++++++++%3cXAxisLabelStep%3e10%3c%2fXAxisLabelStep%3e%0d%0a++++++++++++++++++%3cXAxisTitle+%2f%3e%0d%0a++++++++++++++++++%3cYAxisTitle+%2f%3e%0d%0a++++++++++++++++++%3cXAxisHasMajorGrid%3efalse%3c%2fXAxisHasMajorGrid%3e%0d%0a++++++++++++++++++%3cYAxisHasMajorGrid%3etrue%3c%2fYAxisHasMajorGrid%3e%0d%0a++++++++++++++++++%3cXAxisHasMinorGrid%3efalse%3c%2fXAxisHasMinorGrid%3e%0d%0a++++++++++++++++++%3cYAxisHasMinorGrid%3efalse%3c%2fYAxisHasMinorGrid%3e%0d%0a++++++++++++++++++%3cTop%3e0.6%3c%2fTop%3e%0d%0a++++++++++++++++++%3cLeft%3e0.0447761194029851%3c%2fLeft%3e%0d%0a++++++++++++++++++%3cTitle+%2f%3e%0d%0a++++++++++++++++++%3cFont+%2f%3e%0d%0a++++++++++++++++++%3cChartColor%3e-65537%3c%2fChartColor%3e%0d%0a++++++++++++++++++%3cSeriesCollection%3e%0d%0a++++++++++++++++++++%3cSeries%3e%0d%0a++++++++++++++++++++++%3cNameIndex%3e0%3c%2fNameIndex%3e%0d%0a++++++++++++++++++++++%3cName%3e++Aircraft++1%2f2+Time+Forecast%3c%2fName%3e%0d%0a++++++++++++++++++++++%3cColor%3e-1%3c%2fColor%3e%0d%0a++++++++++++++++++++++%3cBorderColor%3e-16750900%3c%2fBorderColor%3e%0d%0a++++++++++++++++++++%3c%2fSeries%3e%0d%0a++++++++++++++++++%3c%2fSeriesCollection%3e%0d%0a++++++++++++++++++%3cLegendPosition+%2f%3e%0d%0a++++++++++++++++++%3cHasLegend%3etrue%3c%2fHasLegend%3e%0d%0a++++++++++++++++++%3cTopLeftRangeAddress%3e%3d'Mx+FORECAST'!%24B%2439%3c%2fTopLeftRangeAddress%3e%0d%0a++++++++++++++++++%3cAbsoluteTop%3e418.5%3c%2fAbsoluteTop%3e%0d%0a++++++++++++++++++%3cAbsoluteLeft%3e2.25%3c%2fAbsoluteLeft%3e%0d%0a++++++++++++++++%3c%2fChart%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t>
  </si>
  <si>
    <t xml:space="preserve"> e%0d%0a++++++++++++++++%3cVerticalAlign+%2f%3e%0d%0a++++++++++++++++%3cCellHasFormula%3eFalse%3c%2fCellHasFormula%3e%0d%0a++++++++++++++++%3cFontName%3eArial%3c%2fFontName%3e%0d%0a++++++++++++++++%3cWrapText%3eFalse%3c%2fWrapText%3e%0d%0a++++++++++++++++%3cFontSize%3e8%3c%2fFontSize%3e%0d%0a++++++++++++++++%3cX%3e5%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38%3c%2fY%3e%0d%0a++++++++++++++++%3cImages+%2f%3e%0d%0a++++++++++++++++%3cFormControls+%2f%3e%0d%0a++++++++++++++++%3cGrid+%2f%3e%0d%0a++++++++++++++++%3cExportPage+%2f%3e%0d%0a++++++++++++++++%3cExportRange+%2f%3e%0d%0a++++++++++++++++%3cMaps+%2f%3e%0d%0a++++++++++++++%3c%2fTD%3e%0d%0a++++++++++++++%3cTD%3e%0d%0a++++++++++++++++%3cPSCFormated%3efalse%3c%2fPSCFormated%3e%0d%0a++++++++++++++++%3cStyle%3eClass89%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38%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38%3c%2fY%3e%0d%0a++++++++++++++++%3cImages+%2f%3e%0d%0a++++++++++++++++%3cFormControls+%2f%3e%0d%0a++++++++++++++++%3cGrid+%2f%3e%0d%0a++++++++++++++++%3cExportPage+%2f%3e%0d%0a++++++++++++++++%3cExportRange+%2f%3e%0d%0a++++++++++++++++%3cMaps+%2f%3e%0d%0a++++++++++++++%3c%2fTD%3e%0d%0a++++++++++++++%3cTD%3e%0d%0a++++++++++++++++%3cPSCFormated%3efalse%3c%2fPSCFormated%3e%0d%0a++++++++++++++++%3cStyle%3eClass92%3c%2fStyle%3e%0d%0a++++++++++++++++%3cMerge%3eFalse%3c%2fMerge%3e%0d%0a++++++++++++++++%3cRowSpan+%2f%3e%0d%0a++++++++++++++++%3cColSpan+%2f%3e%0d%0a++++++++++++++++%3cFormat%3eGeneral%3c%2fFormat%3e%0d%0a++++++++++++++++%3cWidth%3e51%3c%2fWidth%3e%0d%0a++++++++++++++++%3cText+%2f%3e%0d%0a++++++++++++++++%3cHeight%3e11.25%3c%2fHeight%3e%0d%0a++++++++++++++++%3cAlign%3eRight%3c%2fAlign%3e%0d%0a++++++++++++++++%3cVerticalAlign+%2f%3e%0d%0a++++++++++++++++%3cCellHasFormula%3eFalse%3c%2fCellHasFormula%3e%0d%0a++++++++++++++++%3cFontName%3eCalibri%3c%2fFontName%3e%0d%0a++++++++++++++++%3cWrapText%3eFalse%3c%2fWrapText%3e%0d%0a++++++++++++++++%3cFontSize%3e8%3c%2fFontSize%3e%0d%0a++++++++++++++++%3cX%3e17%3c%2fX%3e%0d%0a++++++++++++++++%3cY%3e38%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38%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38%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38%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38%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t>
  </si>
  <si>
    <t xml:space="preserve"> 3c%2fCellHasFormula%3e%0d%0a++++++++++++++++%3cFontName%3eArial%3c%2fFontName%3e%0d%0a++++++++++++++++%3cWrapText%3eFalse%3c%2fWrapText%3e%0d%0a++++++++++++++++%3cFontSize%3e8%3c%2fFontSize%3e%0d%0a++++++++++++++++%3cX%3e12%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39%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39%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39%3c%2fY%3e%0d%0a++++++++++++++++%3cImages+%2f%3e%0d%0a++++++++++++++++%3cFormControls+%2f%3e%0d%0a++++++++++++++++%3cGrid+%2f%3e%0d%0a++++++++++++++++%3cExportPage+%2f%3e%0d%0a++++++++++++++++%3cExportRange+%2f%3e%0d%0a++++++++++++++++%3cMaps+%2f%3e%0d%0a++++++++++++++%3c%2fTD%3e%0d%0a++++++++++++++%3cTD%3e%0d%0a++++++++++++++++%3cPSCFormated%3efalse%3c%2fPSCFormated%3e%0d%0a++++++++++++++++%3cStyle%3eClass92%3c%2fStyle%3e%0d%0a++++++++++++++++%3cMerge%3eFalse%3c%2fMerge%3e%0d%0a++++++++++++++++%3cRowSpan+%2f%3e%0d%0a++++++++++++++++%3cColSpan+%2f%3e%0d%0a++++++++++++++++%3cFormat%3eGeneral%3c%2fFormat%3e%0d%0a++++++++++++++++%3cWidth%3e51%3c%2fWidth%3e%0d%0a++++++++++++++++%3cText+%2f%3e%0d%0a++++++++++++++++%3cHeight%3e11.25%3c%2fHeight%3e%0d%0a++++++++++++++++%3cAlign%3eRight%3c%2fAlign%3e%0d%0a++++++++++++++++%3cVerticalAlign+%2f%3e%0d%0a++++++++++++++++%3cCellHasFormula%3eFalse%3c%2fCellHasFormula%3e%0d%0a++++++++++++++++%3cFontName%3eCalibri%3c%2fFontName%3e%0d%0a++++++++++++++++%3cWrapText%3eFalse%3c%2fWrapText%3e%0d%0a++++++++++++++++%3cFontSize%3e8%3c%2fFontSize%3e%0d%0a++++++++++++++++%3cX%3e17%3c%2fX%3e%0d%0a++++++++++++++++%3cY%3e39%3c%2fY%3e%0d%0a++++++++++++++++%3cImages+%2f%3e%0d%0a++++++++++++++++%3cFormControls+%2f%3e%0d%0a++++++++++++++++%3cGrid+%2f%3e%0d%0a++++++++++++++++%3cExportPage+%2f%3e%0d%0a++++++++++++++++%3cExportRange+%2f%3e%0d%0a++++++++++++++++%3cMaps+%2f%3e%0d%0a++++++++++++++%3c%2fTD%3e%0d%0a++++++++++++++%3cTD%3e%0d%0a++++++++++++++++%3cPSCFormated%3efalse%3c%2fPSCFormated%3e%0d%0a++++++++++++++++%3cStyle%3eClass64%3c%2fStyle%3e%0d%0a++++++++++++++++%3cMerge%3eFalse%3c%2fMerge%3e%0d%0a++++++++++++++++%3cRowSpan+%2f%3e%0d%0a++++++++++++++++%3cColSpan+%2f%3e%0d%0a++++++++++++++++%3cFormat%3eGeneral%3c%2fFormat%3e%0d%0a++++++++++++++++%3cWidth%3e13.5%3c%2fWidth%3e%0d%0a++++++++++++++++%3cText+%2f%3e%0d%0a++++++++++++++++%3cHeight%3e11.25%3c%2fHeight%3e%0d%0a++++++++++++++++%3cAlign%3eLeft%3c%2fAlign%3e%0d%0a++++++++++++++++%3cVerticalAlign+%2f%3e%0d%0a++++++++++++++++%3cCellHasFormula%3eTrue%3c%2fCellHasFormula%3e%0d%0a++++++++++++++++%3cFontName%3eCalibri%3c%2fFontName%3e%0d%0a++++++++++++++++%3cWrapText%3eFalse%3c%2fWrapText%3e%0d%0a++++++++++++++++%3cFontSize%3e8%3c%2fFontSize%3e%0d%0a++++++++++++++++%3cX%3e18%3c%2fX%3e%0d%0a++++++++++++++++%3cY%3e39%3c%2fY%3e%0d%0a++++++++++++++++%3cImages+%2f%3e%0d%0a++++++++++++++++%3cFormControls+%2f%3e%0d%0a++++++++++++++++%3cGrid+%2f%3e%0d%0a++++++++++++++++%3cExportPage+%2f%3e%0d%0a++++++++++++++++%3cExportRange+%2f%3e%0d%0a++++++++++++++++%3cMaps+%2f%3e%0d%0a++++++++++++++%3c%2fTD%3e%0d%0a++++++++++++++%3cTD%3e%0d%0a++++++++++++++++%3cPSCFormated%3efalse%3c%2fPSCFormated%3e%0d%0a++++++++++++++++%3cStyle%3eClass42%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39%3c%2fY%3e%0d%0a++++++++++++++++%3cImages+%2f%3e%0d%0a++++++++++++++++%3cFormControls+%2f%3e%0d%0a++++++++++++++++%3cGrid+%2f%3e%0d%0a++++++++++++++++%3cExportPage+%2f%3e%0d%0a++++++++++++++++%3cExportRange+%2f%3e%0d%0a++++++++++++++++%3cMaps+%2f%3e%0d%0a++++++++++++++%3c%2fTD%3e%0d%0a++++++++++++++%3cTD%3e%0d%0a++++++++++++++++%3cPSCFormated%3efalse%3c%2fPSCFormated%3e%0d%0a++++++++++++++++%3cStyle%3eClass65%3c%2fStyle%3e%0d%0a++++++++++++++++%3cMerge%3eFalse%3c%2fMerge%3e%0d%0a++++++++++++++++%3cRowSpan+%2f%3e%0d%0a++++++++++++++++%3cColSpan+%2f%3e%0d%0a++++++++++++++++%3cFormat%3e%23%2c%23%230%3c%2fFormat%3e%0d%0a++++++++++++++++%3cWidth%3e55.5%3c%2fWidth%3e%0d%0a++++++++++++++++%3cText+%2f%3e%0d%0a++++++++++++++++%3cHeight%3e11.25%3c%2fHeight%3e%0d%0a++++++++++++++++%3cAlign%3eCenter%3c%2fAlign%3e%0d%0a++++++++++++++++%3cVerticalAlign+%2f%3e%0d%0a++++++++++++++++%3cCellHasFormula%3eTrue%3c%2fCellHasFormula%3e%0d%0a++++++++++++++++%3cFontName%3eCalibri%3c%2fFontName%3e%0d%0a++++++++++++++++%3cWrapText%3eFalse%3c%2fWrapText%3e%0d%0a++++++++++++++++%3cFontSize%3e8%3c%2fFontSize%3e%0d%0a++++++++++++++++%3cX%3e20%3c%2fX%3e%0d%0a++++++++++++++++%3cY%3e39%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39%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40%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40%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40%3c%2fY%3e%0d%0a++++++++++++++++%3cImages+%2f%3e%0d%0a++++++++++++++++%3cFormControls+%2f%3e%0d%0a++++++++++++++++%3cGrid+%2f%3e%0d%0a++++++++++++++++%3cExportPage+%2f%3e%0d%0a++++++++++++++++%3cExportRange+%2f%3e%0d%0a++++++++++++++++%3cMaps+%2f%3e%0d%0a++++++++++++++%3c%2fTD%3e%0d%0a++++++++++++++%3cTD%3e%0d%0a++++++++++++++++%3cPSCFormated%3efalse%3c%2fPSCFormated%3e%0d%0a++++++++++++++++%3cStyle%3eClass93%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8%3c%2fFontSize%3e%0d%0a++++++++++++++++%3cX%3e17%3c%2fX%3e%0d%0a++++++++++++++++%3cY%3e40%3c%2fY%3e%0d%0a++++++++++++++++%3cImages+%2f%3e%0d%0a++++++++++++++++%3cFormControls+%2f%3e%0d%0a++++++++++++++++%3cGrid+%2f%3e%0d%0a++++++++++++++++%3cExportPage+%2f%3e%0d%0a++++++++++++++++%3cExportRange+%2f%3e%0d%0a++++++++++++++++%3cMaps+%2f%3e%0d%0a++++++++++++++%3c%2fTD%3e%0d%0a++++++++++++++%3cTD%3e%0d%0a++++++++++++++++%3cPSCFormated%3efalse%3c%2fPSCFormated%3e%0d%0a++++++++++++++++%3cStyle%3eClass94%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Calibri%3c%2fFontName%3e%0d%0a++++++++++++++++%3cWrapText%3eFalse%3c%2fWrapText%3e%0d%0a++++++++++++++++%3cFontSize%3e9%3c%2fFontSize%3e%0d%0a++++++++++++++++%3cX%3e18%3c%2fX%3e%0d%0a++++++++++++++++%3cY%3e40%3c%2fY%3e%0d%0a++++++++++++++++%3cImages+%2f%3e%0d%0a++++++++++++++++%3cFormControls+%2f%3e%0d%0a++++++++++++++++%3cGrid+%2f%3e%0d%0a++++++++++++++++%3cExportPage+%2f%3e%0d%0a++++++++++++++++%3cExportRange+%2f%3e%0d%0a++++++++++++++++%3cMaps+%2f%3e%0d%0a++++++++++++++%3c%2fTD%3e%0d%0a++++++++++++++%3cTD%3e%0d%0a++++++++++++++++%3cPSCFormated%3efalse%3c%2fPSCFormated%3e%0d%0a++++++++++++++++%3cStyle%3eClass95%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t>
  </si>
  <si>
    <t xml:space="preserve"> %0a++++++++++++++++%3cFontSize%3e8%3c%2fFontSize%3e%0d%0a++++++++++++++++%3cX%3e19%3c%2fX%3e%0d%0a++++++++++++++++%3cY%3e40%3c%2fY%3e%0d%0a++++++++++++++++%3cImages+%2f%3e%0d%0a++++++++++++++++%3cFormControls+%2f%3e%0d%0a++++++++++++++++%3cGrid+%2f%3e%0d%0a++++++++++++++++%3cExportPage+%2f%3e%0d%0a++++++++++++++++%3cExportRange+%2f%3e%0d%0a++++++++++++++++%3cMaps+%2f%3e%0d%0a++++++++++++++%3c%2fTD%3e%0d%0a++++++++++++++%3cTD%3e%0d%0a++++++++++++++++%3cPSCFormated%3efalse%3c%2fPSCFormated%3e%0d%0a++++++++++++++++%3cStyle%3eClass95%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20%3c%2fX%3e%0d%0a++++++++++++++++%3cY%3e40%3c%2fY%3e%0d%0a++++++++++++++++%3cImages+%2f%3e%0d%0a++++++++++++++++%3cFormControls+%2f%3e%0d%0a++++++++++++++++%3cGrid+%2f%3e%0d%0a++++++++++++++++%3cExportPage+%2f%3e%0d%0a++++++++++++++++%3cExportRange+%2f%3e%0d%0a++++++++++++++++%3cMaps+%2f%3e%0d%0a++++++++++++++%3c%2fTD%3e%0d%0a++++++++++++++%3cTD%3e%0d%0a++++++++++++++++%3cPSCFormated%3efalse%3c%2fPSCFormated%3e%0d%0a++++++++++++++++%3cStyle%3eClass96%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21%3c%2fX%3e%0d%0a++++++++++++++++%3cY%3e40%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41%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41%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41%3c%2fY%3e%0d%0a++++++++++++++++%3cImages+%2f%3e%0d%0a++++++++++++++++%3cFormControls+%2f%3e%0d%0a++++++++++++++++%3cGrid+%2f%3e%0d%0a++++++++++++++++%3cExportPage+%2f%3e%0d%0a++++++++++++++++%3cExportRange+%2f%3e%0d%0a++++++++++++++++%3cMaps+%2f%3e%0d%0a++++++++++++++%3c%2fTD%3e%0d%0a++++++++++++++%3cTD%3e%0d%0a++++++++++++++++%3cPSCFormated%3efalse%3c%2fPSCFormated%3e%0d%0a++++++++++++++++%3cStyle%3eClass93%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8%3c%2fFontSize%3e%0d%0a++++++++++++++++%3cX%3e17%3c%2fX%3e%0d%0a++++++++++++++++%3cY%3e41%3c%2fY%3e%0d%0a++++++++++++++++%3cImages+%2f%3e%0d%0a++++++++++++++++%3cFormControls+%2f%3e%0d%0a++++++++++++++++%3cGrid+%2f%3e%0d%0a++++++++++++++++%3cExportPage+%2f%3e%0d%0a++++++++++++++++%3cExportRange+%2f%3e%0d%0a++++++++++++++++%3cMaps+%2f%3e%0d%0a++++++++++++++%3c%2fTD%3e%0d%0a++++++++++++++%3cTD%3e%0d%0a++++++++++++++++%3cPSCFormated%3efalse%3c%2fPSCFormated%3e%0d%0a++++++++++++++++%3cStyle%3eClass97%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Calibri%3c%2fFontName%3e%0d%0a++++++++++++++++%3cWrapText%3eFalse%3c%2fWrapText%3e%0d%0a++++++++++++++++%3cFontSize%3e9%3c%2fFontSize%3e%0d%0a++++++++++++++++%3cX%3e18%3c%2fX%3e%0d%0a++++++++++++++++%3cY%3e41%3c%2fY%3e%0d%0a++++++++++++++++%3cImages+%2f%3e%0d%0a++++++++++++++++%3cFormControls+%2f%3e%0d%0a++++++++++++++++%3cGrid+%2f%3e%0d%0a++++++++++++++++%3cExportPage+%2f%3e%0d%0a++++++++++++++++%3cExportRange+%2f%3e%0d%0a++++++++++++++++%3cMaps+%2f%3e%0d%0a++++++++++++++%3c%2fTD%3e%0d%0a++++++++++++++%3cTD%3e%0d%0a++++++++++++++++%3cPSCFormated%3efalse%3c%2fPSCFormated%3e%0d%0a++++++++++++++++%3cStyle%3eClass98%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19%3c%2fX%3e%0d%0a++++++++++++++++%3cY%3e41%3c%2fY%3e%0d%0a++++++++++++++++%3cImages+%2f%3e%0d%0a++++++++++++++++%3cFormControls+%2f%3e%0d%0a++++++++++++++++%3cGrid+%2f%3e%0d%0a++++++++++++++++%3cExportPage+%2f%3e%0d%0a++++++++++++++++%3cExportRange+%2f%3e%0d%0a++++++++++++++++%3cMaps+%2f%3e%0d%0a++++++++++++++%3c%2fTD%3e%0d%0a++++++++++++++%3cTD%3e%0d%0a++++++++++++++++%3cPSCFormated%3efalse%3c%2fPSCFormated%3e%0d%0a++++++++++++++++%3cStyle%3eClass98%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20%3c%2fX%3e%0d%0a++++++++++++++++%3cY%3e41%3c%2fY%3e%0d%0a++++++++++++++++%3cImages+%2f%3e%0d%0a++++++++++++++++%3cFormControls+%2f%3e%0d%0a++++++++++++++++%3cGrid+%2f%3e%0d%0a++++++++++++++++%3cExportPage+%2f%3e%0d%0a++++++++++++++++%3cExportRange+%2f%3e%0d%0a++++++++++++++++%3cMaps+%2f%3e%0d%0a++++++++++++++%3c%2fTD%3e%0d%0a++++++++++++++%3cTD%3e%0d%0a++++++++++++++++%3cPSCFormated%3efalse%3c%2fPSCFormated%3e%0d%0a++++++++++++++++%3cStyle%3eClass96%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21%3c%2fX%3e%0d%0a++++++++++++++++%3cY%3e41%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t>
  </si>
  <si>
    <t xml:space="preserve"> rapText%3e%0d%0a++++++++++++++++%3cFontSize%3e8%3c%2fFontSize%3e%0d%0a++++++++++++++++%3cX%3e5%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14%3c%2fX%3e%0d%0a++++++++++++++++%3cY%3e42%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42%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42%3c%2fY%3e%0d%0a++++++++++++++++%3cImages+%2f%3e%0d%0a++++++++++++++++%3cFormControls+%2f%3e%0d%0a++++++++++++++++%3cGrid+%2f%3e%0d%0a++++++++++++++++%3cExportPage+%2f%3e%0d%0a++++++++++++++++%3cExportRange+%2f%3e%0d%0a++++++++++++++++%3cMaps+%2f%3e%0d%0a++++++++++++++%3c%2fTD%3e%0d%0a++++++++++++++%3cTD%3e%0d%0a++++++++++++++++%3cPSCFormated%3efalse%3c%2fPSCFormated%3e%0d%0a++++++++++++++++%3cStyle%3eClass92%3c%2fStyle%3e%0d%0a++++++++++++++++%3cMerge%3eFalse%3c%2fMerge%3e%0d%0a++++++++++++++++%3cRowSpan+%2f%3e%0d%0a++++++++++++++++%3cColSpan+%2f%3e%0d%0a++++++++++++++++%3cFormat%3eGeneral%3c%2fFormat%3e%0d%0a++++++++++++++++%3cWidth%3e51%3c%2fWidth%3e%0d%0a++++++++++++++++%3cText+%2f%3e%0d%0a++++++++++++++++%3cHeight%3e11.25%3c%2fHeight%3e%0d%0a++++++++++++++++%3cAlign%3eRight%3c%2fAlign%3e%0d%0a++++++++++++++++%3cVerticalAlign+%2f%3e%0d%0a++++++++++++++++%3cCellHasFormula%3eFalse%3c%2fCellHasFormula%3e%0d%0a++++++++++++++++%3cFontName%3eCalibri%3c%2fFontName%3e%0d%0a++++++++++++++++%3cWrapText%3eFalse%3c%2fWrapText%3e%0d%0a++++++++++++++++%3cFontSize%3e8%3c%2fFontSize%3e%0d%0a++++++++++++++++%3cX%3e17%3c%2fX%3e%0d%0a++++++++++++++++%3cY%3e42%3c%2fY%3e%0d%0a++++++++++++++++%3cImages+%2f%3e%0d%0a++++++++++++++++%3cFormControls+%2f%3e%0d%0a++++++++++++++++%3cGrid+%2f%3e%0d%0a++++++++++++++++%3cExportPage+%2f%3e%0d%0a++++++++++++++++%3cExportRange+%2f%3e%0d%0a++++++++++++++++%3cMaps+%2f%3e%0d%0a++++++++++++++%3c%2fTD%3e%0d%0a++++++++++++++%3cTD%3e%0d%0a++++++++++++++++%3cPSCFormated%3efalse%3c%2fPSCFormated%3e%0d%0a++++++++++++++++%3cStyle%3eClass36%3c%2fStyle%3e%0d%0a++++++++++++++++%3cMerge%3eTrue%3c%2fMerge%3e%0d%0a++++++++++++++++%3cRowSpan+%2f%3e%0d%0a++++++++++++++++%3cColSpan%3e3%3c%2fColSpan%3e%0d%0a++++++++++++++++%3cFormat%3eGeneral%3c%2fFormat%3e%0d%0a++++++++++++++++%3cWidth%3e120%3c%2fWidth%3e%0d%0a++++++++++++++++%3cText%3eMx+Condition+Status%3c%2fText%3e%0d%0a++++++++++++++++%3cHeight%3e11.25%3c%2fHeight%3e%0d%0a++++++++++++++++%3cAlign%3eCenter%3c%2fAlign%3e%0d%0a++++++++++++++++%3cVerticalAlign+%2f%3e%0d%0a++++++++++++++++%3cCellHasFormula%3eFalse%3c%2fCellHasFormula%3e%0d%0a++++++++++++++++%3cFontName%3eCalibri%3c%2fFontName%3e%0d%0a++++++++++++++++%3cWrapText%3eFalse%3c%2fWrapText%3e%0d%0a++++++++++++++++%3cFontSize%3e8%3c%2fFontSize%3e%0d%0a++++++++++++++++%3cX%3e18%3c%2fX%3e%0d%0a++++++++++++++++%3cY%3e42%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42%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11.25%3c%2fHeight%3e%0d%0a++++++++++++++++%3cAlign%3eLeft%3c%2fAlign%3e%0d%0a++++++++++++++++%3cVerticalAlign+%2f%3e%0d%0a++++++++++++++++%3cCellHasFormula%3eFalse%3c%2fCellHasFormula%3e%0d%0a++++++++++++++++%3cFontName%3eArial%3c%2fFontName%3e%0d%0a++++++++++++++++%3cWrapText%3eFalse%3c%2fWrapText%3e%0d%0a++++++++++++++++%3cFontSize%3e8%3c%2fFontSize%3e%0d%0a++++++++++++++++%3cX%3e1%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2%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11.25%3c%2fHeight%3e%0d%0a++++++++++++++++%3cAlign%3eLeft%3c%2fAlign%3e%0d%0a++++++++++++++++%3cVerticalAlign+%2f%3e%0d%0a++++++++++++++++%3cCellHasFormula%3eFalse%3c%2fCellHasFormula%3e%0d%0a++++++++++++++++%3cFontName%3eArial%3c%2fFontName%3e%0d%0a++++++++++++++++%3cWrapText%3eFalse%3c%2fWrapText%3e%0d%0a++++++++++++++++%3cFontSize%3e8%3c%2fFontSize%3e%0d%0a++++++++++++++++%3cX%3e3%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4%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5%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6%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7%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8%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9%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11.25%3c%2fHeight%3e%0d%0a++++++++++++++++%3cAlign%3eLeft%3c%2fAlign%3e%0d%0a++++++++++++++++%3cVerticalAlign+%2f%3e%0d%0a++++++++++++++++%3cCellHasFormula%3eFalse%3c%2fCellHasFormula%3e%0d%0a++++++++++++++++%3cFontName%3eArial%3c%2fFontName%3e%0d%0a++++++++++++++++%3cWrapText%3eFalse%3c%2fWrapText%3e%0d%0a++++++++++++++++%3cFontSize%3e8%3c%2fFontSize%3e%0d%0a++++++++++++++++%3cX%3e10%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11%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e%0d%0a++++++++++++++++%3cX%3e12%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Arial%3c%2fFontName%3e%0d%0a++++++++++++++++%3cWrapText%3eFalse%3c%2fWrapText%3e%0d%0a++++++++++++++++%3cFontSize%3e8%3c%2fFontSize%3e%0d%0a++++++++++++++++%3cX%3e13%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11.25%3c%2fHeight%3e%0d%0a++++++++++++++++%3cAlign%3eLeft%3c%2fAlign%3e%0d%0a++++++++++++++++%3cVerticalAlign+%2f%3e%0d%0a++++++++++++++++%3cCellHasFormula%3eFalse%3c%2fCellHasFormula%3e%0d%0a++++++++++++++++%3cFontName%3eArial%3c%2fFontName%3e%0d%0a++++++++++++++++%3cWrapText%3eFalse%3c%2fWrapText%3e%0d%0a++++++++++++++++%3cFontSize%3e8%3c%2fFontSize%3</t>
  </si>
  <si>
    <t xml:space="preserve"> e%0d%0a++++++++++++++++%3cX%3e14%3c%2fX%3e%0d%0a++++++++++++++++%3cY%3e43%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11.25%3c%2fHeight%3e%0d%0a++++++++++++++++%3cAlign%3eLeft%3c%2fAlign%3e%0d%0a++++++++++++++++%3cVerticalAlign+%2f%3e%0d%0a++++++++++++++++%3cCellHasFormula%3eFalse%3c%2fCellHasFormula%3e%0d%0a++++++++++++++++%3cFontName%3eArial%3c%2fFontName%3e%0d%0a++++++++++++++++%3cWrapText%3eFalse%3c%2fWrapText%3e%0d%0a++++++++++++++++%3cFontSize%3e8%3c%2fFontSize%3e%0d%0a++++++++++++++++%3cX%3e15%3c%2fX%3e%0d%0a++++++++++++++++%3cY%3e43%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11.25%3c%2fHeight%3e%0d%0a++++++++++++++++%3cAlign%3eLeft%3c%2fAlign%3e%0d%0a++++++++++++++++%3cVerticalAlign+%2f%3e%0d%0a++++++++++++++++%3cCellHasFormula%3eFalse%3c%2fCellHasFormula%3e%0d%0a++++++++++++++++%3cFontName%3eArial%3c%2fFontName%3e%0d%0a++++++++++++++++%3cWrapText%3eFalse%3c%2fWrapText%3e%0d%0a++++++++++++++++%3cFontSize%3e8%3c%2fFontSize%3e%0d%0a++++++++++++++++%3cX%3e16%3c%2fX%3e%0d%0a++++++++++++++++%3cY%3e43%3c%2fY%3e%0d%0a++++++++++++++++%3cImages+%2f%3e%0d%0a++++++++++++++++%3cFormControls+%2f%3e%0d%0a++++++++++++++++%3cGrid+%2f%3e%0d%0a++++++++++++++++%3cExportPage+%2f%3e%0d%0a++++++++++++++++%3cExportRange+%2f%3e%0d%0a++++++++++++++++%3cMaps+%2f%3e%0d%0a++++++++++++++%3c%2fTD%3e%0d%0a++++++++++++++%3cTD%3e%0d%0a++++++++++++++++%3cPSCFormated%3efalse%3c%2fPSCFormated%3e%0d%0a++++++++++++++++%3cStyle%3eClass92%3c%2fStyle%3e%0d%0a++++++++++++++++%3cMerge%3eFalse%3c%2fMerge%3e%0d%0a++++++++++++++++%3cRowSpan+%2f%3e%0d%0a++++++++++++++++%3cColSpan+%2f%3e%0d%0a++++++++++++++++%3cFormat%3eGeneral%3c%2fFormat%3e%0d%0a++++++++++++++++%3cWidth%3e51%3c%2fWidth%3e%0d%0a++++++++++++++++%3cText+%2f%3e%0d%0a++++++++++++++++%3cHeight%3e11.25%3c%2fHeight%3e%0d%0a++++++++++++++++%3cAlign%3eRight%3c%2fAlign%3e%0d%0a++++++++++++++++%3cVerticalAlign+%2f%3e%0d%0a++++++++++++++++%3cCellHasFormula%3eFalse%3c%2fCellHasFormula%3e%0d%0a++++++++++++++++%3cFontName%3eCalibri%3c%2fFontName%3e%0d%0a++++++++++++++++%3cWrapText%3eFalse%3c%2fWrapText%3e%0d%0a++++++++++++++++%3cFontSize%3e8%3c%2fFontSize%3e%0d%0a++++++++++++++++%3cX%3e17%3c%2fX%3e%0d%0a++++++++++++++++%3cY%3e43%3c%2fY%3e%0d%0a++++++++++++++++%3cImages+%2f%3e%0d%0a++++++++++++++++%3cFormControls+%2f%3e%0d%0a++++++++++++++++%3cGrid+%2f%3e%0d%0a++++++++++++++++%3cExportPage+%2f%3e%0d%0a++++++++++++++++%3cExportRange+%2f%3e%0d%0a++++++++++++++++%3cMaps+%2f%3e%0d%0a++++++++++++++%3c%2fTD%3e%0d%0a++++++++++++++%3cTD%3e%0d%0a++++++++++++++++%3cPSCFormated%3efalse%3c%2fPSCFormated%3e%0d%0a++++++++++++++++%3cStyle%3eClass71%3c%2fStyle%3e%0d%0a++++++++++++++++%3cMerge%3eFalse%3c%2fMerge%3e%0d%0a++++++++++++++++%3cRowSpan+%2f%3e%0d%0a++++++++++++++++%3cColSpan+%2f%3e%0d%0a++++++++++++++++%3cFormat%3eGeneral%3c%2fFormat%3e%0d%0a++++++++++++++++%3cWidth%3e13.5%3c%2fWidth%3e%0d%0a++++++++++++++++%3cText%3e++Condition%3c%2fText%3e%0d%0a++++++++++++++++%3cHeight%3e11.25%3c%2fHeight%3e%0d%0a++++++++++++++++%3cAlign%3eLeft%3c%2fAlign%3e%0d%0a++++++++++++++++%3cVerticalAlign+%2f%3e%0d%0a++++++++++++++++%3cCellHasFormula%3eFalse%3c%2fCellHasFormula%3e%0d%0a++++++++++++++++%3cFontName%3eCalibri%3c%2fFontName%3e%0d%0a++++++++++++++++%3cWrapText%3eFalse%3c%2fWrapText%3e%0d%0a++++++++++++++++%3cFontSize%3e8%3c%2fFontSize%3e%0d%0a++++++++++++++++%3cX%3e18%3c%2fX%3e%0d%0a++++++++++++++++%3cY%3e43%3c%2fY%3e%0d%0a++++++++++++++++%3cImages+%2f%3e%0d%0a++++++++++++++++%3cFormControls+%2f%3e%0d%0a++++++++++++++++%3cGrid+%2f%3e%0d%0a++++++++++++++++%3cExportPage+%2f%3e%0d%0a++++++++++++++++%3cExportRange+%2f%3e%0d%0a++++++++++++++++%3cMaps+%2f%3e%0d%0a++++++++++++++%3c%2fTD%3e%0d%0a++++++++++++++%3cTD%3e%0d%0a++++++++++++++++%3cPSCFormated%3efalse%3c%2fPSCFormated%3e%0d%0a++++++++++++++++%3cStyle%3eClass48%3c%2fStyle%3e%0d%0a++++++++++++++++%3cMerge%3eFalse%3c%2fMerge%3e%0d%0a++++++++++++++++%3cRowSpan+%2f%3e%0d%0a++++++++++++++++%3cColSpan+%2f%3e%0d%0a++++++++++++++++%3cFormat%3eGeneral%3c%2fFormat%3e%0d%0a++++++++++++++++%3cWidth%3e51%3c%2fWidth%3e%0d%0a++++++++++++++++%3cText+%2f%3e%0d%0a++++++++++++++++%3cHeight%3e11.25%3c%2fHeight%3e%0d%0a++++++++++++++++%3cAlign%3eLeft%3c%2fAlign%3e%0d%0a++++++++++++++++%3cVerticalAlign+%2f%3e%0d%0a++++++++++++++++%3cCellHasFormula%3eFalse%3c%2fCellHasFormula%3e%0d%0a++++++++++++++++%3cFontName%3eCalibri%3c%2fFontName%3e%0d%0a++++++++++++++++%3cWrapText%3eFalse%3c%2fWrapText%3e%0d%0a++++++++++++++++%3cFontSize%3e8%3c%2fFontSize%3e%0d%0a++++++++++++++++%3cX%3e19%3c%2fX%3e%0d%0a++++++++++++++++%3cY%3e43%3c%2fY%3e%0d%0a++++++++++++++++%3cImages+%2f%3e%0d%0a++++++++++++++++%3cFormControls+%2f%3e%0d%0a++++++++++++++++%3cGrid+%2f%3e%0d%0a++++++++++++++++%3cExportPage+%2f%3e%0d%0a++++++++++++++++%3cExportRange+%2f%3e%0d%0a++++++++++++++++%3cMaps+%2f%3e%0d%0a++++++++++++++%3c%2fTD%3e%0d%0a++++++++++++++%3cTD%3e%0d%0a++++++++++++++++%3cPSCFormated%3efalse%3c%2fPSCFormated%3e%0d%0a++++++++++++++++%3cStyle%3eClass49%3c%2fStyle%3e%0d%0a++++++++++++++++%3cMerge%3eFalse%3c%2fMerge%3e%0d%0a++++++++++++++++%3cRowSpan+%2f%3e%0d%0a++++++++++++++++%3cColSpan+%2f%3e%0d%0a++++++++++++++++%3cFormat%3eGeneral%3c%2fFormat%3e%0d%0a++++++++++++++++%3cWidth%3e55.5%3c%2fWidth%3e%0d%0a++++++++++++++++%3cText%3eStatus%3c%2fText%3e%0d%0a++++++++++++++++%3cHeight%3e11.25%3c%2fHeight%3e%0d%0a++++++++++++++++%3cAlign%3eCenter%3c%2fAlign%3e%0d%0a++++++++++++++++%3cVerticalAlign+%2f%3e%0d%0a++++++++++++++++%3cCellHasFormula%3eFalse%3c%2fCellHasFormula%3e%0d%0a++++++++++++++++%3cFontName%3eCalibri%3c%2fFontName%3e%0d%0a++++++++++++++++%3cWrapText%3eFalse%3c%2fWrapText%3e%0d%0a++++++++++++++++%3cFontSize%3e8%3c%2fFontSize%3e%0d%0a++++++++++++++++%3cX%3e20%3c%2fX%3e%0d%0a++++++++++++++++%3cY%3e43%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11.25%3c%2fHeight%3e%0d%0a++++++++++++++++%3cAlign%3eLeft%3c%2fAlign%3e%0d%0a++++++++++++++++%3cVerticalAlign+%2f%3e%0d%0a++++++++++++++++%3cCellHasFormula%3eFalse%3c%2fCellHasFormula%3e%0d%0a++++++++++++++++%3cFontName%3eCalibri%3c%2fFontName%3e%0d%0a++++++++++++++++%3cWrapText%3eFalse%3c%2fWrapText%3e%0d%0a++++++++++++++++%3cFontSize%3e8%3c%2fFontSize%3e%0d%0a++++++++++++++++%3cX%3e21%3c%2fX%3e%0d%0a++++++++++++++++%3cY%3e43%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44%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44%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44%3c%2fY%3e%0d%0a++++++++++++++++%3cImages+%2f%3e%0d%0a++++++++++++++++%3cFormControls+%2f%3e%0d%0a++++++++++++++++%3cGrid+%2f%3e%0d%0a++++++++++++++++%3cExportPage+%2f%3e%0d%0a++++++++++++++++%3cExportRange+%2f%3e%0d%0a++++++++++++++++%3cMaps+%2f%3e%0d%0a++++++++++++++%3c%2fTD%3e%0d%0a++++++++++++++%3cTD%3e%0d%0a++++++++++++++++%3cPSCFormated%3efalse%3c%2fPSCFormated%3e%0d%0a++++++++++++++++%3cStyle%3eClass99%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44%3c%2fY%3e%0d%0a++++++++++++++++%3cImages+%2f%3e%0d%0a++++++++++++++++%3cFormControls+%2f%3e%0d%0a++++++++++++++++%3cGrid+%2f%3e%0d%0a++++++++++++++++%3cExportPage+%2f%3e%0d%0a++++++++++++++++%3cExportRange+%2f%3e%0d%0a++++++++++++++++%3cMaps+%2f%3e%0d%0a++++++++++++++%3c%2fTD%3e%0d%0a++++++++++++++%3cTD%3e%0d%0a++++++++++++++++%3cPSCFormated%3efalse%3c%2fPSCFormated%3e%0d%0a++++++++++++++++%3cStyle%3eClass33%3c%2fStyle%3e%0d%0a++++++++++++++++%3cMerge%3eFalse%3c%2fMerge%3e%0d%0a++++++++++++++++%3cRowSpan+%2f%3e%0d%0a++++++++++++++++%3cColSpan+%2f%3e%0d%0a++++++++++++++++%3cFormat%3eGeneral%3c%2fFormat%3e%0d%0a++++++++++++++++%3cWidth%3e13.5%3c%2fWidth%3e%0d%0a++++++++++++++++%3cText+%2f%3e%0d%0a++++++++++++++++%3cHeight%3e12%3c%2fHeight%3e%0d%0a++++++++++++++++%3cAlign%3eLeft%3c%2fAlign%3e%0d%0a++++++++++++++++%3cVerticalAlign+%2f%3e%0d%0a++++++++++++++++%3cCellHasFormula%3eTrue%3c%2fCellHasFormula%3e%0d%0a++++++++++++++++%3cFontName%3eCalibri%3c%2fFontName%3e%0d%0a++++++++++++++++%3cWrapText%3eFalse%3c%2fWrapText%3e%0d%0a++++++++++++++++%3cFontSize%3e8%3c%2fFontSize%3e%0d%0a++++++++++++++++%3cX%3e18%3c%2fX%3e%0d%0a++++++++++++++++%3cY%3e44%3c%2fY%3e%0d%0a++++++++++++++++%3cImages+%2f%3e%0d%0a++++++++++++++++%3cFormControls+%2f%3e%0d%0a++++++++++++++++%3cGrid+%2f%3e%0d%0a++++++++++++++++%3cExportPage+%2f%3e%0d%0a++++++++++++++++%3cExportRange+%2f%3e%0d%0a++++++++++++++++%3cMaps+%2f%3e%0d%0a++++++++++++++%3c%2fTD%3e%0d%0a++++++++++++++%3cTD%3e%0d%0a++++++++++++++++%3cPSCFormated%3efalse%3c%2fPSCFormated%3e%0d%0a++++++++++++++++%3cStyle%3eClass34%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19%3c%2fX%3e%0d%0a++++++++++++++++%3cY%3e44%3c%2fY%3e%0d%0a++++++++++++++++%3cImages+%2f%3e%0d%0a++++++++++++++++%3cFormControls+%2f%3e%0d%0a++++++++++++++++%3cGrid+%2f%3e%0d%0a++++++++++++++++%3cExportPage+%2f%3e%0d%0a++++++++++++++++%3cExportRange+%2f%3e%0d%0a++++++++++++++++%3cMaps+%2f%3e%0d%0a++++++++++++++%3c%2fTD%3e%0d%0a++++++++++++++%3cTD%3e%0d%0a++++++++++++++++%3cPSCFormated%3efalse%3c%2fPSCFormated%3e%0d%0a++++++++++++++++%3cStyle%3eClass52%3c%2fStyle%3e%0d%0a++++++++++++++++%3cMerge%3eFalse%3c%2fMerge%3e%0d%0a++++++++++++++++%3cRowSpan+%2f%3e%0d%0a++++++++++++++++%3cColSpan+%2f%3e%0d%0a++++++++++++++++%3cFormat%3e0%25%3c%2fFormat%3e%0d%0a++++++++++++++++%3cWidth%3e55.5%3c%2fWidth%3e%0d%0a++++++++++++++++%3cText+%2f%3e%0d%0a++++++++++++++++%3cHeight%3e12%3c%2fHeight%3e%0d%0a++++++++++++++++%3cAlign%3eCenter%3c%2fAlign%3e%0d%0a++++++++++++++++%3cVerticalAlign+%2f%3e%0d%0a++++++++++++++++%3cCellHasFormula%3eTrue%3c%2fCellHasFormula%3e%0d%0a++++++++++++++++%3cFontName%3eCalibri%3c%2fFontName%3e%0d%0a++++++++++++++++%3cWrapText%3eFalse%3c%2fWrapText%3e%0d%0a++++++++++++++++%3cFontSize%3e8%3c%2fFontSize%3e%0d%0a++++++++++++++++%3cX%3e20%3c%2fX%3e%0d%0a++++++++++++++++%3cY%3e44%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21%3c%2fX%3e%0d%0a++++++++++++++++%3cY%3e44%3c%2fY%3e%0d%0a++++++++++++++++%3cImage</t>
  </si>
  <si>
    <t xml:space="preserve"> 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45%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45%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45%3c%2fY%3e%0d%0a++++++++++++++++%3cImages+%2f%3e%0d%0a++++++++++++++++%3cFormControls+%2f%3e%0d%0a++++++++++++++++%3cGrid+%2f%3e%0d%0a++++++++++++++++%3cExportPage+%2f%3e%0d%0a++++++++++++++++%3cExportRange+%2f%3e%0d%0a++++++++++++++++%3cMaps+%2f%3e%0d%0a++++++++++++++%3c%2fTD%3e%0d%0a++++++++++++++%3cTD%3e%0d%0a++++++++++++++++%3cPSCFormated%3efalse%3c%2fPSCFormated%3e%0d%0a++++++++++++++++%3cStyle%3eClass99%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45%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12%3c%2fHeight%3e%0d%0a++++++++++++++++%3cAlign%3eLeft%3c%2fAlign%3e%0d%0a++++++++++++++++%3cVerticalAlign+%2f%3e%0d%0a++++++++++++++++%3cCellHasFormula%3eTrue%3c%2fCellHasFormula%3e%0d%0a++++++++++++++++%3cFontName%3eCalibri%3c%2fFontName%3e%0d%0a++++++++++++++++%3cWrapText%3eFalse%3c%2fWrapText%3e%0d%0a++++++++++++++++%3cFontSize%3e8%3c%2fFontSize%3e%0d%0a++++++++++++++++%3cX%3e18%3c%2fX%3e%0d%0a++++++++++++++++%3cY%3e45%3c%2fY%3e%0d%0a++++++++++++++++%3cImages+%2f%3e%0d%0a++++++++++++++++%3cFormControls+%2f%3e%0d%0a++++++++++++++++%3cGrid+%2f%3e%0d%0a++++++++++++++++%3cExportPage+%2f%3e%0d%0a++++++++++++++++%3cExportRange+%2f%3e%0d%0a++++++++++++++++%3cMaps+%2f%3e%0d%0a++++++++++++++%3c%2fTD%3e%0d%0a++++++++++++++%3cTD%3e%0d%0a++++++++++++++++%3cPSCFormated%3efalse%3c%2fPSCFormated%3e%0d%0a++++++++++++++++%3cStyle%3eClass6%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19%3c%2fX%3e%0d%0a++++++++++++++++%3cY%3e45%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23%2c%23%230.00_)%3b(%23%2c%23%230.00)%3c%2fFormat%3e%0d%0a++++++++++++++++%3cWidth%3e55.5%3c%2fWidth%3e%0d%0a++++++++++++++++%3cText+%2f%3e%0d%0a++++++++++++++++%3cHeight%3e12%3c%2fHeight%3e%0d%0a++++++++++++++++%3cAlign%3eCenter%3c%2fAlign%3e%0d%0a++++++++++++++++%3cVerticalAlign+%2f%3e%0d%0a++++++++++++++++%3cCellHasFormula%3eTrue%3c%2fCellHasFormula%3e%0d%0a++++++++++++++++%3cFontName%3eCalibri%3c%2fFontName%3e%0d%0a++++++++++++++++%3cWrapText%3eFalse%3c%2fWrapText%3e%0d%0a++++++++++++++++%3cFontSize%3e8%3c%2fFontSize%3e%0d%0a++++++++++++++++%3cX%3e20%3c%2fX%3e%0d%0a++++++++++++++++%3cY%3e45%3c%2fY%3e%0d%0a++++++++++++++++%3cImages+%2f%3e%0d%0a++++++++++++++++%3cFormControls+%2f%3e%0d%0a++++++++++++++++%3cGrid+%2f%3e%0d%0a++++++++++++++++%3cExportPage+%2f%3e%0d%0a++++++++++++++++%3cExportRange+%2f%3e%0d%0a++++++++++++++++%3cMaps+%2f%3e%0d%0a++++++++++++++%3c%2fTD%3e%0d%0a++++++++++++++%3cTD%3e%0d%0a++++++++++++++++%3cPSCFormated%3efalse%3c%2fPSCFormated%3e%0d%0a++++++++++++++++%3cStyle%3eClass51%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21%3c%2fX%3e%0d%0a++++++++++++++++%3cY%3e45%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46%3c%2fY%3e%0d%0a++++++</t>
  </si>
  <si>
    <t xml:space="preserve"> ++++++++++%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46%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46%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46%3c%2fY%3e%0d%0a++++++++++++++++%3cImages+%2f%3e%0d%0a++++++++++++++++%3cFormControls+%2f%3e%0d%0a++++++++++++++++%3cGrid+%2f%3e%0d%0a++++++++++++++++%3cExportPage+%2f%3e%0d%0a++++++++++++++++%3cExportRange+%2f%3e%0d%0a++++++++++++++++%3cMaps+%2f%3e%0d%0a++++++++++++++%3c%2fTD%3e%0d%0a++++++++++++++%3cTD%3e%0d%0a++++++++++++++++%3cPSCFormated%3efalse%3c%2fPSCFormated%3e%0d%0a++++++++++++++++%3cStyle%3eClass99%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46%3c%2fY%3e%0d%0a++++++++++++++++%3cImages+%2f%3e%0d%0a++++++++++++++++%3cFormControls+%2f%3e%0d%0a++++++++++++++++%3cGrid+%2f%3e%0d%0a++++++++++++++++%3cExportPage+%2f%3e%0d%0a++++++++++++++++%3cExportRange+%2f%3e%0d%0a++++++++++++++++%3cMaps+%2f%3e%0d%0a++++++++++++++%3c%2fTD%3e%0d%0a++++++++++++++%3cTD%3e%0d%0a++++++++++++++++%3cPSCFormated%3efalse%3c%2fPSCFormated%3e%0d%0a++++++++++++++++%3cStyle%3eClass56%3c%2fStyle%3e%0d%0a++++++++++++++++%3cMerge%3eFalse%3c%2fMerge%3e%0d%0a++++++++++++++++%3cRowSpan+%2f%3e%0d%0a++++++++++++++++%3cColSpan+%2f%3e%0d%0a++++++++++++++++%3cFormat%3eGeneral%3c%2fFormat%3e%0d%0a++++++++++++++++%3cWidth%3e13.5%3c%2fWidth%3e%0d%0a++++++++++++++++%3cText+%2f%3e%0d%0a++++++++++++++++%3cHeight%3e12%3c%2fHeight%3e%0d%0a++++++++++++++++%3cAlign%3eLeft%3c%2fAlign%3e%0d%0a++++++++++++++++%3cVerticalAlign+%2f%3e%0d%0a++++++++++++++++%3cCellHasFormula%3eTrue%3c%2fCellHasFormula%3e%0d%0a++++++++++++++++%3cFontName%3eCalibri%3c%2fFontName%3e%0d%0a++++++++++++++++%3cWrapText%3eFalse%3c%2fWrapText%3e%0d%0a++++++++++++++++%3cFontSize%3e8%3c%2fFontSize%3e%0d%0a++++++++++++++++%3cX%3e18%3c%2fX%3e%0d%0a++++++++++++++++%3cY%3e46%3c%2fY%3e%0d%0a++++++++++++++++%3cImages+%2f%3e%0d%0a++++++++++++++++%3cFormControls+%2f%3e%0d%0a++++++++++++++++%3cGrid+%2f%3e%0d%0a++++++++++++++++%3cExportPage+%2f%3e%0d%0a++++++++++++++++%3cExportRange+%2f%3e%0d%0a++++++++++++++++%3cMaps+%2f%3e%0d%0a++++++++++++++%3c%2fTD%3e%0d%0a++++++++++++++%3cTD%3e%0d%0a++++++++++++++++%3cPSCFormated%3efalse%3c%2fPSCFormated%3e%0d%0a++++++++++++++++%3cStyle%3eClass57%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19%3c%2fX%3e%0d%0a++++++++++++++++%3cY%3e46%3c%2fY%3e%0d%0a++++++++++++++++%3cImages+%2f%3e%0d%0a++++++++++++++++%3cFormControls+%2f%3e%0d%0a++++++++++++++++%3cGrid+%2f%3e%0d%0a++++++++++++++++%3cExportPage+%2f%3e%0d%0a++++++++++++++++%3cExportRange+%2f%3e%0d%0a++++++++++++++++%3cMaps+%2f%3e%0d%0a++++++++++++++%3c%2fTD%3e%0d%0a++++++++++++++%3cTD%3e%0d%0a++++++++++++++++%3cPSCFormated%3efalse%3c%2fPSCFormated%3e%0d%0a++++++++++++++++%3cStyle%3eClass58%3c%2fStyle%3e%0d%0a++++++++++++++++%3cMerge%3eFalse%3c%2fMerge%3e%0d%0a++++++++++++++++%3cRowSpan+%2f%3e%0d%0a++++++++++++++++%3cColSpan+%2f%3e%0d%0a++++++++++++++++%3cFormat%3e0%25%3c%2fFormat%3e%0d%0a++++++++++++++++%3cWidth%3e55.5%3c%2fWidth%3e%0d%0a++++++++++++++++%3cText+%2f%3e%0d%0a++++++++++++++++%3cHeight%3e12%3c%2fHeight%3e%0d%0a++++++++++++++++%3cAlign%3eCenter%3c%2fAlign%3e%0d%0a++++++++++++++++%3cVerticalAlign+%2f%3e%0d%0a++++++++++++++++%3cCellHasFormula%3eTrue%3c%2fCellHasFormula%3e%0d%0a++++++++++++++++%3cFontName%3eCalibri%3c%2fFontName%3e%0d%0a++++++++++++++++%3cWrapText%3eFalse%3c%2fWrapText%3e%0d%0a++++++++++++++++%3cFontSize%3e8%3c%2fFontSize%3e%0d%0a++++++++++++++++%3cX%3e20%3c%2fX%3e%0d%0a++++++++++++++++%3cY%3e46%3c%2fY%3e%0d%0a++++++++++++++++%3cImages+%2f%3e%0d%0a++++++++++++++++%3cFormControls+%2f%3e%0d%0a++++++++++++++++%3cGrid+%2f%3e%0d%0a++++++++++++++++%3cExportPage+%2f%3e%0d%0a++++++++++++++++%3cExportRange+%2f%3e%0d%0a++++++++++++++++%3cMaps+%2f%3e%0d%0a++++++++++++++%3c%2fTD%3e%0d%0a++++++++++++++%3cTD%3e%0d%0a++++++++++++++++%3cPSCFormated%3efalse%3c%2fPSCFormated%3e%0d%0a++++++++++++++++%3cStyle%3eClass100%3c%2fStyle%3e%0d%0a++++++++++++++++%3cMerge%3eFalse%3c%2fMerge%3e%0d%0a++++++++++++++++%3cRowSpan+%2f%3e%0d%0a++++++++++++++++%3cColSpan+%2f%3e%0d%0a++++++++++++++++%3cFormat%3e%23%2c%23%230%3c%2fFormat%3e%0d%0a++++++++++++++++%3cWidth%3e55.5%3c%2fWidth%3e%0d%0a++++++++++++++++%3cText+%2f%3e%0d%0a++++++++++++++++%3cHeight%3e12%3c%2fHeight%3e%0d%0a++++++++++++++++%3cAlign%3eCenter%3c%2fAlign%3e%0d%0a++++++++++++++++%3cVerticalAlign+%2f%3e%0d%0a++++++++++++++++%3cCellHasFormula%3eFalse%3c%2fCellHasFormula%3e%0d%0a++++++++++++++++%3cFontName%3eCalibri%3c%2fFontName%3e%0d%0a++++++++++++++++%3cWrapText%3eFalse%3c%2fWrapText%3e%0d%0a++++++++++++++++%3cFontSize%3e8%3c%2fFontSize%3e%0d%0a++++++++++++++++%3cX%3e21%3c%2fX%3e%0d%0a++++++++++++++++%3cY%3e46%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47%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47%3c%2fY%3e%0d%0a++++++++++++++++%3cImages+%2f%3e%0d%0a++++++++++++++++%3cFormControls+%2f%3e%0d%0a++++++++++++++++%3cGrid+%2f%3e%0d%0a++++++++++++++++%3cExportPage+%2f%3e%0d%0a++++++++++++++++%3cEx</t>
  </si>
  <si>
    <t xml:space="preserve"> 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47%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47%3c%2fY%3e%0d%0a++++++++++++++++%3cImages+%2f%3e%0d%0a++++++++++++++++%3cFormControls+%2f%3e%0d%0a++++++++++++++++%3cGrid+%2f%3e%0d%0a++++++++++++++++%3cExportPage+%2f%3e%0d%0a++++++++++++++++%3cExportRange+%2f%3e%0d%0a++++++++++++++++%3cMaps+%2f%3e%0d%0a++++++++++++++%3c%2fTD%3e%0d%0a++++++++++++++%3cTD%3e%0d%0a++++++++++++++++%3cPSCFormated%3efalse%3c%2fPSCFormated%3e%0d%0a++++++++++++++++%3cStyle%3eClass99%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47%3c%2fY%3e%0d%0a++++++++++++++++%3cImages+%2f%3e%0d%0a++++++++++++++++%3cFormControls+%2f%3e%0d%0a++++++++++++++++%3cGrid+%2f%3e%0d%0a++++++++++++++++%3cExportPage+%2f%3e%0d%0a++++++++++++++++%3cExportRange+%2f%3e%0d%0a++++++++++++++++%3cMaps+%2f%3e%0d%0a++++++++++++++%3c%2fTD%3e%0d%0a++++++++++++++%3cTD%3e%0d%0a++++++++++++++++%3cPSCFormated%3efalse%3c%2fPSCFormated%3e%0d%0a++++++++++++++++%3cStyle%3eClass64%3c%2fStyle%3e%0d%0a++++++++++++++++%3cMerge%3eFalse%3c%2fMerge%3e%0d%0a++++++++++++++++%3cRowSpan+%2f%3e%0d%0a++++++++++++++++%3cColSpan+%2f%3e%0d%0a++++++++++++++++%3cFormat%3eGeneral%3c%2fFormat%3e%0d%0a++++++++++++++++%3cWidth%3e13.5%3c%2fWidth%3e%0d%0a++++++++++++++++%3cText+%2f%3e%0d%0a++++++++++++++++%3cHeight%3e12%3c%2fHeight%3e%0d%0a++++++++++++++++%3cAlign%3eLeft%3c%2fAlign%3e%0d%0a++++++++++++++++%3cVerticalAlign+%2f%3e%0d%0a++++++++++++++++%3cCellHasFormula%3eTrue%3c%2fCellHasFormula%3e%0d%0a++++++++++++++++%3cFontName%3eCalibri%3c%2fFontName%3e%0d%0a++++++++++++++++%3cWrapText%3eFalse%3c%2fWrapText%3e%0d%0a++++++++++++++++%3cFontSize%3e8%3c%2fFontSize%3e%0d%0a++++++++++++++++%3cX%3e18%3c%2fX%3e%0d%0a++++++++++++++++%3cY%3e47%3c%2fY%3e%0d%0a++++++++++++++++%3cImages+%2f%3e%0d%0a++++++++++++++++%3cFormControls+%2f%3e%0d%0a++++++++++++++++%3cGrid+%2f%3e%0d%0a++++++++++++++++%3cExportPage+%2f%3e%0d%0a++++++++++++++++%3cExportRange+%2f%3e%0d%0a++++++++++++++++%3cMaps+%2f%3e%0d%0a++++++++++++++%3c%2fTD%3e%0d%0a++++++++++++++%3cTD%3e%0d%0a++++++++++++++++%3cPSCFormated%3efalse%3c%2fPSCFormated%3e%0d%0a++++++++++++++++%3cStyle%3eClass101%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19%3c%2fX%3e%0d%0a++++++++++++++++%3cY%3e47%3c%2fY%3e%0d%0a++++++++++++++++%3cImages+%2f%3e%0d%0a++++++++++++++++%3cFormControls+%2f%3e%0d%0a++++++++++++++++%3cGrid+%2f%3e%0d%0a++++++++++++++++%3cExportPage+%2f%3e%0d%0a++++++++++++++++%3cExportRange+%2f%3e%0d%0a++++++++++++++++%3cMaps+%2f%3e%0d%0a++++++++++++++%3c%2fTD%3e%0d%0a++++++++++++++%3cTD%3e%0d%0a++++++++++++++++%3cPSCFormated%3efalse%3c%2fPSCFormated%3e%0d%0a++++++++++++++++%3cStyle%3eClass65%3c%2fStyle%3e%0d%0a++++++++++++++++%3cMerge%3eFalse%3c%2fMerge%3e%0d%0a++++++++++++++++%3cRowSpan+%2f%3e%0d%0a++++++++++++++++%3cColSpan+%2f%3e%0d%0a++++++++++++++++%3cFormat%3e%23%2c%23%230.00_)%3b(%23%2c%23%230.00)%3c%2fFormat%3e%0d%0a++++++++++++++++%3cWidth%3e55.5%3c%2fWidth%3e%0d%0a++++++++++++++++%3cText+%2f%3e%0d%0a++++++++++++++++%3cHeight%3e12%3c%2fHeight%3e%0d%0a++++++++++++++++%3cAlign%3eCenter%3c%2fAlign%3e%0d%0a++++++++++++++++%3cVerticalAlign+%2f%3e%0d%0a++++++++++++++++%3cCellHasFormula%3eTrue%3c%2fCellHasFormula%3e%0d%0a++++++++++++++++%3cFontName%3eCalibri%3c%2fFontName%3e%0d%0a++++++++++++++++%3cWrapText%3eFalse%3c%2fWrapText%3e%0d%0a++++++++++++++++%3cFontSize%3e8%3c%2fFontSize%3e%0d%0a++++++++++++++++%3cX%3e20%3c%2fX%3e%0d%0a++++++++++++++++%3cY%3e47%3c%2fY%3e%0d%0a++++++++++++++++%3cImages+%2f%3e%0d%0a++++++++++++++++%3cFormControls+%2f%3e%0d%0a++++++++++++++++%3cGrid+%2f%3e%0d%0a++++++++++++++++%3cExportPage+%2f%3e%0d%0a++++++++++++++++%3cExportRange+%2f%3e%0d%0a++++++++++++++++%3cMaps+%2f%3e%0d%0a++++++++++++++%3c%2fTD%3e%0d%0a++++++++++++++%3cTD%3e%0d%0a++++++++++++++++%3cPSCFormated%3efalse%3c%2fPSCFormated%3e%0d%0a++++++++++++++++%3cStyle%3eClass100%3c%2fStyle%3e%0d%0a++++++++++++++++%3cMerge%3eFalse%3c%2fMerge%3e%0d%0a++++++++++++++++%3cRowSpan+%2f%3e%0d%0a++++++++++++++++%3cColSpan+%2f%3e%0d%0a++++++++++++++++%3cFormat%3e%23%2c%23%230%3c%2fFormat%3e%0d%0a++++++++++++++++%3cWidth%3e55.5%3c%2fWidth%3e%0d%0a++++++++++++++++%3cText+%2f%3e%0d%0a++++++++++++++++%3cHeight%3e12%3c%2fHeight%3e%0d%0a++++++++++++++++%3cAlign%3eCenter%3c%2fAlign%3e%0d%0a++++++++++++++++%3cVerticalAlign+%2f%3e%0d%0a++++++++++++++++%3cCellHasFormula%3eFalse%3c%2fCellHasFormula%3e%0d%0a++++++++++++++++%3cFontName%3eCalibri%3c%2fFontName%3e%0d%0a++++++++++++++++%3cWrapText%3eFalse%3c%2fWrapText%3e%0d%0a++++++++++++++++%3cFontSize%3e8%3c%2fFontSize%3e%0d%0a++++++++++++++++%3cX%3e21%3c%2fX%3e%0d%0a++++++++++++++++%3cY%3e47%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12.75%3c%2fHeight%3e%0d%0a++++++++++++++++%3cAlign%3eLeft%3c%2fAlign%3e%0d%0a++++++++++++++++%3cVerticalAlign+%2f%3e%0d%0a++++++++++++++++%3cCellHasFormula%3eFalse%3c%2fCellHasFormula%3e%0d%0a++++++++++++++++%3cFontName%3eArial%3c%2fFontName%3e%0d%0a++++++++++++++++%3cWrapText%3eFalse%3c%2fWrapText%3e%0d%0a++++++++++++++++%3cFontSize%3e8%3c%2fFontSize%3e%0d%0a++++++++++++++++%3cX%3e1%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2%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12.75%3c%2fHeight%3e%0d%0a++++++++++++++++%3cAlign%3eLeft%3c%2fAlign%3e%0d%0a++++++++++++++++%3cVerticalAlign+%2f%3e%0d%0a++++++++++++++++%3cCellHasFormula%3eFalse%3c%2fCellHasFormula%3e%0d%0a++++++++++++++++%3cFontName%3eArial%3c%2fFontName%3e%0d%0a++++++++++++++++%3cWrapText%3eFalse%3c%2fWrapText%3e%0d%0a++++++++++++++++%3cFontSize%3e8%3c%2fFontSize%3e%0d%0a++++++++++++++++%3cX%3e3%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4%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12.75%3c%2fHeight%3e%0d%0a++++++++++++++++%3cAlign%3eLeft%3c%2fAlign%3e%0d%0a++++++++++++++++%3cVerticalAlign+%2f%3e%0d%0a++++++++++++++++%3cCellHasFormula%3eFalse%3c%2fCellHasFormula%3e%0d%0a++++++++++++++++%3cFontName%3eArial%3c%2fFontName%3e%0d%0a++++++++++++++++%3cWrapText%3eFalse%3c%2fWrapText%3e%0d%0a++++++++++++++++%3cFontSize%3e8%3c%2fFontSize%3e%0d%0a++++++++++++++++%3cX%3e5%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6%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12.75%3c%2fHeight%3e%0d%0a++++++++++++++++%3cAlign%3eLeft%3c%2fAlign%3e%0d%0a++++++++++++++++%3cVerticalAlign+%2f%3e%0d%0a++++++++++++++++%3cCellHasFormula%3eFalse%3c%2fCellHasFormula%3e%0d%0a++++++++++++++++%3cFontName%3eArial%3c%2fFontName%3e%0d%0a++++++++++++++++%3cWrapText%3eFalse%3c%2fWrapText%3e%0d%0a++++++++++++++++%3cFontSize%3e8%3c%2fFontSize%3e%0d%0a++++++++++++++++%3cX%3e7%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8%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12.75%3c%2fHeight%3e%0d%0a++++++++++++++++%3cAlign%3eLeft%3c%2fAlign%3e%0d%0a++++++++++++++++%3cVerticalAlign+%2f%3e%0d%0a++++++++++++++++%3cCellHasFormula%3eFalse%3c%2fCellHasFormula%3e%0d%0a++++++++++++++++%3cFontName%3eArial%3c%2fFontName%3e%0d%0a++++++++++++++++%3cWrapText%3eFalse%3c%2fWrapText%3e%0d%0a++++++++++++++++%3cFontSize%3e8%3c%2fFontSize%3e%0d%0a++++++++++++++++%3cX%3e9%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12.75%3c%2fHeight%3e%0d%0a++++++++++++++++%3cAlign%3eLeft%3c%2fAlign%3e%0d%0a++++++++++++++++%3cVerticalAlign+%2f%3e%0d%0a++++++++++++++++%3cCellHasFormula%3eFalse%3c%2fCellHasFormula%3e%0d%0a++++++++++++++++%3cFontName%3eArial%3c%2fFontName%3e%0d%0a++++++++++++++++%3cWrapText%3eFalse%3c%2fWrapText%3e%0d%0a++++++++++++++++%3cFontSize%3e8%3c%2fFontSize%3e%0d%0a++++++++++++++++%3cX%3e10%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12.75%3c%2fHeight%3e%0d%0a++++++++++++++++%3cAlign%3eLeft%3c%2fAlign%3e%0d%0a++++++++++++++++%3cVerticalAlign+%2f%3e%0d%0a++++++++++++++++%3cCellHasFormula%3eFalse%3c%2fCellHasFormula%3e%0d%0a++++++++++++++++%3cFontName%3eArial%3c%2fFontName%3e%0d%0a++++++++++++++++%3cWrapText%3eFalse%3c%2fWrapText%3e%0d%0a++++++++++++++++%3cFontSize%3e8%3c%2fFontSize%3e%0d%0a++++++++++++++++%3cX%3e11%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12%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12.75%3c%2fHeight%3e%0d%0a++++++++++++++++%3cAlign%3eLeft%3c%2fAlign%3e%0d%0a++++++++++++++++%3cVerticalAlign+%2f%3e%0d%0a++++++++++++++++%3cCellHasFormula%3eFalse%3c%2fCellHasFormula%3e%0d%0a++++++++++++++++%3cFontName%3eArial%3c%2fFontName%3e%0d%0a++++++++++++++++%3cWrapText%3eFalse%3c%2fWrapText%3e%0d%0a++++++++++++++++%3cFontSize%3e8%3c%2fFontSize%3e%0d%0a++++++++++++++++%3cX%3e13%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Arial%3c%2fFontName%3e%0d%0a++++++++++++++++%3cWrapText%3eFalse%3c%2fWrapText%3e%0d%0a++++++++++++++++%3cFontSize%3e8%3c%2fFontSize%3e%0d%0a++++++++++++++++%3cX%3e14%3c%2fX%3e%0d%0a++++++++++++++++%3cY%3e48%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12.75%3c%2fHeight%3e%0d%0a++++++++++++++++%3cAlign%3eLeft%3c%2fAlign%3e%0d%0a++++++++++++++++%3cVerticalAlign+%2f%3e%0d%0a++++++++++++++++%3cCellHasFormula%3eFalse%3c%2fCellHasFormula%3e%0d%0a++++++++++++++++%3cFontName%3eArial%3c%2fFontName%3e%0d%0a++++++++++++++++%3cWrapText%3eFalse%3c%2fWrapText%3e%0d%0a++++++++++++++++%3cFontSize%3e8%3c%2fFontSize%3e%0d%0a++++++++++++++++%3cX%3e15%3c%2fX%3e%0d%0a++++++++++++++++%3cY%3e48%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12.75%3c%2fHeight%3e%0d%0a++++++++++++++++%3cAlign%3eLeft%3c%2fAlign%3e%0d%0a++++++++++++++++%3cVerticalAlign+%2f%3e%0d%0a++++++++++++++++%3cCellHasFormula%3eFalse%3c%2fCellHasFormula%3e%0d%0a++++++++++++++++%3cFontName%3eArial%3c%2fFontName%3e%0d%0a++++++++++++++++%3cWrapText%3eFalse%3c%2fWrapText%3e%0d%0a++++++++++++++++%3cFontSize%3e8%3c%2fFontSize%3e%0d%0a++++++++++++++++%3cX%3e16%3c%2fX%3e%0d%0a++++++++++++++++%3cY%3e48%3c%2fY%3e%0d%0a++++++++++++++++%3cImages+%2f%3e%0d%0a++++++++++++++++%3cFormControls+%2f%3e%0d%0a++++++++++++++++%3cGrid+%2f%3e%0d%0a++++++++++++++++%3cExportPage+%2f%3e%0d%0a++++++++++++++++%3cExportRange+%2f%3e%0d%0a++++++++++++++++%3cMaps+%2f%3e%0d%0a++++++++++++++%3c%2fTD%3e%0d%0a++++++++++++++%3cTD%3e%0d%0a++++++++++++++++%3cPSCFormated%3efalse%3c%2fPSCFormated%3e%0d%0a++++++++++++++++%3cStyle%3eClass102%3c%2fStyle%3e%0d%0a++++++++++++++++%3cMerge%3eFalse%3c%2fMerge%3e%0d%0a++++++++++++++++%3cRowSpan+%2f%3e%0d%0a++++++++++++++++%3cColSpan+%2f%3e%0d%0a++++++++++++++++%3cFormat%3eGeneral%3c%2fFormat%3e%0d%0a++++++++++++++++%3cWidth%3e51%3c%2fWidth%3e%0d%0a++++++++++++++++%3cText+%2f%3e%0d%0a++++++++++++++++%3cHeight%3e12.75%3c%2fHeight%3e%0d%0a++++++++++++++++%3cAlign%3eRight%3c%2fAlign%3e%0d%0a++++++++++++++++%3cVerticalAlign+%2f%3e%0d%0a++++++++++++++++%3cCellHasFormula%3eFalse%3c%2fCellHasFormula%3e%0d%0a++++++++++++++++%3cFontName%3eCalibri%3c%2fFontName%3e%0d%0a++++++++++++++++%3cWrapText%3eFalse%3c%2fWrapText%3e%0d%0a++++++++++++++++%3cFontSize%3e9%3c%2fFontSize%3e%0d%0a++++++++++++++++%3cX%3e17%3c%2fX%3e%0d%0a++++++++++++++++%3cY%3e48%3c%2fY%3e%0d%0a++++++++++++++++%3cImages+%2f%3e%0d%0a++++++++++++++++%3cFormControls+%2f%3e%0d%0a++++++++++++++++%3cGrid+%2f%3e%0d%0a++++++++++++++++%3cExportPage+%2f%3e%0d%0a++++++++++++++++%3cExportRange+%2f%3e%0d%0a++++++++++++++++%3cMaps+%2f%3e%0d%0a++++++++++++++%3c%2fTD%3e%0d%0a++++++++++++++%3cTD%3e%0d%0a++++++++++++++++%3cPSCFormated%3efalse%3c%2fPSCFormated%3e%0d%0a++++++++++++++++%3cStyle%3eClass94%3c%2fStyle%3e%0d%0a++++++++++++++++%3cMerge%3eFalse%3c%2fMerge%3e%0d%0a++++++++++++++++%3cRowSpan+%2f%3e%0d%0a++++++++++++++++%3cColSpan+%2f%3e%0d%0a++++++++++++++++%3cFormat%3eGeneral%3c%2fFormat%3e%0d%0a++++++++++++++++%3cWidth%3e13.5%3c%2fWidth%3e%0d%0a++++++++++++++++%3cText+%2f%3e%0d%0a++++++++++++++++%3cHeight%3e12.75%3c%2fHeight%3e%0d%0a++++++++++++++++%3cAlign%3eLeft%3c%2fAlign%3e%0d%0a++++++++++++++++%3cVerticalAlign+%2f%3e%0d%0a++++++++++++++++%3cCellHasFormula%3eFalse%3c%2fCellHasFormula%3e%0d%0a++++++++++++++++%3cFontName%3eCalibri%3c%2fFontName%3e%0d%0a++++++++++++++++%3cWrapText%3eFalse%3c%2fWrapText%3e%0d%0a++++++++++++++++%3cFontSize%3e9%3c%2fFontSize%3e%0d%0a++++++++++++++++%3cX%3e18%3c%2fX%3e%0d%0a++++++++++++++++%3cY%3e48%3c%2fY%3e%0d%0a++++++++++++++++%3cImages+%2f%3e%0d%0a++++++++++++++++%3cFormControls+%2f%3e%0d%0a++++++++++++++++%3cGrid+%2f%3e%0d%0a++++++++++++++++%3cExportPage+%2f%3e%0d%0a++++++++++++++++%3cExportRange+%2f%3e%0d%0a++++++++++++++++%3cMaps+%2f%3e%0d%0a++++++++++++++%3c%2fTD%3e%0d%0a++++++++++++++%3cTD%3e%0d%0a++++++++++++++++%3cPSCFormated%3efalse%3c%2fPSCFormated%3e%0d%0a++++++++++++++++%3cStyle%3eClass94%3c%2fStyle%3e%0d%0a++++++++++++++++%3cMerge%3eFalse%3c%2fMerge%3e%0d%0a++++++++++++++++%3cRowSpan+%2f%3e%0d%0a++++++++++++++++%3cColSpan+%2f%3e%0d%0a++++++++++++++++%3cFormat%3eGeneral%3c%2fFormat%3e%0d%0a++++++++++++++++%3cWidth%3e51%3c%2fWidth%3e%0d%0a++++++++++++++++%3cText+%2f%3e%0d%0a++++++++++++++++%3cHeight%3e12.75%3c%2fHeight%3e%0d%0a++++++++++++++++%3cAlign%3eLeft%3c%2fAlign%3e%0d%0a++++++++++++++++%3cVerticalAlign+%2f%3e%0d%0a++++++++++++++++%3cCellHasFormula%3eFalse%3c%2fCellHasFormula%3e%0d%0a++++++++++++++++%3cFontName%3eCalibri%3c%2fFontName%3e%0d%0a++++++++++++++++%3cWrapText%3eFalse%3c%2fWrapText%3e%0d%0a++++++++++++++++%3cFontSize%3e9%3c%2fFontSize%3e%0d%0a++++++++++++++++%3cX%3e19%3c%2fX%3e%0d%0a++++++++++++++++%3cY%3e48%3c%2fY%3e%0d%0a++++++++++++++++%3cImages+%2f%3e%0d%0a++++++++++++++++%3cFormControls+%2f%3e%0d%0a++++++++++++++++%3cGrid+%2f%3e%0d%0a++++++++++++++++%3cExportPage+%2f%3e%0d%0a++++++++++++++++%3cExportRange+%2f%3e%0d%0a++++++++++++++++%3cMaps+%2f%3e%0d%0a++++++++++++++%3c%2fTD%3e%0d%0a++++++++++++++%3cTD%3e%0d%0a++++++++++++++++%3cPSCFormated%3efalse%3c%2fPSCFormated%3e%0d%0a++++++++++++++++%3cStyle%3eClass94%3c%2fStyle%3e%0d%0a++++++++++++++++%3cMerge%3eFalse%3c%2fMerge%3e%0d%0a++++++++++++++++%3cRowSpan+%2f%3e%0d%0a++++++++++++++++%3cColSpan+%2f%3e%0d%0a++++++++++++++++%3cFormat%3eGeneral%3c%2fFormat%3e%0d%0a++++++++++++++++%3cWidth%3e55.5%3c%2fWidth%3e%0d%0a++++++++++++++++%3cText+%2f%3e%0d%0a++++++++++++++++%3cHeight%3e12.75%3c%2fHeight%3e%0d%0a++++++++++++++++%3cAlign%3eLeft%3c%2fAlign%3e%0d%0a++++++++++++++++%3cVerticalAlign+%2f%3e%0d%0a++++++++++++++++%3cCellHasFormula%3eFalse%3c%2fCellHasFormula%3e%0d%0a++++++++++++++++%3cFontName%3eCalibri%3c%2fFontName%3e%0d%0a++++++++++++++++%3cWrapText%3eFalse%3c%2fWrapText%3e%0d%0a++++++++++++++++%3cFontSize%3e9%3c%2fFontSize%3e%0d%0a++++++++++++++++%3cX%3e20%3c%2fX%3e%0d%0a++++++++++++++++%3cY%3e48%3c%2fY%3e%0d%0a++++++++++++++++%3cImages+%2f%3e%0d%0a++++++++++++++++%3cFormControls+%2f%3e%0d%0a++++++++++++++++%3cGrid+%2f%3e%0d%0a++++++++++++++++%3cExportPage+%2f%3e%0d%0a++++++++++++++++%3cExportRange+%2f%3e%0d%0a++++++++++++++++%3cMaps+%2f%3e%0d%0a++++++++++++++%3c%2fTD%3e%0d%0a++++++++++++++%3cTD%3e%0d%0a++++++++++++++++%3cPSCFormated%3efalse%3c%2fPSCFormated%3e%0d%0a++++++++++++++++%3cStyle%3eClass103%3c%2fStyle%3e%0d%0a++++++++++++++++%3cMerge%3eFalse%3c%2fMerge%3e%0d%0a++++++++++++++++%3cRowSpan+%2f%3e%0d%0a++++++++++++++++%3cColSpan+%2f%3e%0d%0a++++++++++++++++%3cFormat%3e%23%2c%23%230%3c%2fFormat%3e%0d%0a++++++++++++++++%3cWidth%3e55.5%3c%2fWidth%3e%0d%0a++++++++++++++++%3cText+%2f%3e%0d%0a++++++++++++++++%3cHeight%3e12.75%3c%2fHeight%3e%0d%0a++++++++++++++++%3cAlign%3eCenter%3c%2fAlign%3e%0d%0a++++++++++++++++%3cVerticalAlign+%2f%3e%0d%0a++++++++++++++++%3cCellHasFormula%3eFalse%3c%2fCellHasFormula%3e%0d%0a++++++++++++++++%3cFontName%3eCalibri%3c%2fFontName%3e%0d%0a++++++++++++++++%3cWrapText%3eFalse%3c%2fWrapText%3e%0d%0a++++++++++++++++%3cFontSize%3e8%3c%2fFontSize%3e%0d%0a++++++++++++++++%3cX%3e21%3c%2fX%3e%0d%0a++++++++++++++++%3cY%3e48%3c%2fY%3e%0d%0a++++++++++++++++%3cImages+%2f%3e%0d%0a++++++++++++++++%3cFormControls+%2f%3e%0d%0a++++++++++++++++%3cGrid+%2f%3e%0d%0a++++++++++++++++%3cExportPage+%2f%3e%0d%0a++++++++++++++++%3cExportRange+%2f%3e%0d%0a++++++++++++++++%3cMaps+%2f%3e%0d</t>
  </si>
  <si>
    <t xml:space="preserve"> %0a++++++++++++++%3c%2fTD%3e%0d%0a++++++++++++%3c%2fTDs%3e%0d%0a++++++++++++%3cIsRowVisible%3etrue%3c%2fIsRowVisible%3e%0d%0a++++++++++%3c%2fTR%3e%0d%0a++++++++++%3cTR%3e%0d%0a++++++++++++%3cTDs%3e%0d%0a++++++++++++++%3cTD%3e%0d%0a++++++++++++++++%3cPSCFormated%3efalse%3c%2fPSCFormated%3e%0d%0a++++++++++++++++%3cStyle%3eClass31%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49%3c%2fY%3e%0d%0a++++++++++++++++%3cImages+%2f%3e%0d%0a++++++++++++++++%3cFormControls+%2f%3e%0d%0a++++++++++++++++%3cGrid+%2f%3e%0d%0a++++++++++++++++%3cExportPage+%2f%3e%0d%0a++++++++++++++++%3cExportRange+%2f%3e%0d%0a++++++++++++++++%3cMaps+%2f%3e%0d%0a++++++++++++++%3c%2fTD%3e%0d%0a++++++++++++++%3cTD%3e%0d%0a++++++++++++++++%3cPSCFormated%3efalse%3c%2fPSCFormated%3e%0d%0a++++++++++++++++%3cStyle%3eClass81%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49%3c%2fY%3e%0d%0a++++++++++++++++%3cImages+%2f%3e%0d%0a++++++++++++++++%3cFormControls+%2f%3e%0d%0a++++++++++++++++%3cGrid+%2f%3e%0d%0a++++++++++++++++%3cExportPage+%2f%3e%0d%0a++++++++++++++++%3cExportRange+%2f%3e%0d%0a++++++++++++++++%3cMaps+%2f%3e%0d%0a++++++++++++++%3c%2fTD%3e%0d%0a++++++++++++++%3cTD%3e%0d%0a++++++++++++++++%3cPSCFormated%3efalse%3c%2fPSCFormated%3e%0d%0a++++++++++++++++%3cStyle%3eClass30%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49%3c%2fY%3e%0d%0a++++++++++++++++%3cImages+%2f%3e%0d%0a++++++++++++++++%3cFormControls+%2f%3e%0d%0a++++++++++++++++%3cGrid+%2f%3e%0d%0a++++++++++++++++%3cExportPage+%2f%3e%0d%0a++++++++++++++++%3cExportRange+%2f%3e%0d%0a++++++++++++++++%3cMaps+%2f%3e%0d%0a++++++++++++++%3c%2fTD%3e%0d%0a++++++++++++++%3cTD%3e%0d%0a++++++++++++++++%3cPSCFormated%3efalse%3c%2fPSCFormated%3e%0d%0a++++++++++++++++%3cStyle%3eClass102%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49%3c%2fY%3e%0d%0a++++++++++++++++%3cImages+%2f%3e%0d%0a++++++++++++++++%3cFormControls+%2f%3e%0d%0a++++++++++++++++%3cGrid+%2f%3e%0d%0a++++++++++++++++%3cExportPage+%2f%3e%0d%0a++++++++++++++++%3cExportRange+%2f%3e%0d%0a++++++++++++++++%3cMaps+%2f%3e%0d%0a++++++++++++++%3c%2fTD%3e%0d%0a++++++++++++++%3cTD%3e%0d%0a++++++++++++++++%3cPSCFormated%3efalse%3c%2fPSCFormated%3e%0d%0a++++++++++++++++%3cStyle%3eClass104%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Calibri%3c%2fFontName%3e%0d%0a++++++++++++++++%3cWrapText%3eFalse%3c%2fWrapText%3e%0d%0a++++++++++++++++%3cFontSize%3e9%3c%2fFontSize%3e%0d%0a++++++++++++++++%3cX%3e18%3c%2fX%3e%0d%0a++++++++++++++++%3cY%3e49%3c%2fY%3e%0d%0a++++++++++++++++%3cImages+%2f%3e%0d%0a++++++++++++++++%3cFormControls+%2f%3e%0d%0a++++++++++++++++%3cGrid+%2f%3e%0d%0a++++++++++++++++%3cExportPage+%2f%3e%0d%0a++++++++++++++++%3cExportRange+%2f%3e%0d%0a++++++++++++++++%3cMaps+%2f%3e%0d%0a++++++++++++++%3c%2fTD%3e%0d%0a++++++++++++++%3cTD%3e%0d%0a++++++++++++++++%3cPSCFormated%3efalse%3c%2fPSCFormated%3e%0d%0a++++++++++++++++%3cStyle%3eClass104%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9%3c%2fFontSize%3e%0d%0a++++++++++++++++%3cX%3e19%3c%2fX%3e%0d%0a++++++++++++++++%3cY%3e49%3c%2fY%3e%0d%0a++++++++++++++++%3cImages+%2f%3e%0d%0a++++++++++++++++%3cFormControls+%2f%3e%0d%0a++++++++++++++++%3cGrid+%2f%3e%0d%0a++++++++++++++++%3cExportPage+%2f%3e%0d%0a++++++++++++++++%3cExportRange+%2f%3e%0d%0a++++++++++++++++%3cMaps+%2f%3e%0d%0a++++++++++++++%3c%2fTD%3e%0d%0a++++++++++++++%3cTD%3e%0d%0a++++++++++++++++%3cPSCFormated%3efalse%3c%2fPSCFormated%3e%0d%0a++++++++++++++++%3cStyle%3eClass104%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9%3c%2fFontSize%3e%0d%0a++++++++++++++++%3cX%3e20%3c%2fX%3e%0d%0a++++++++++++++++%3cY%3e49%3c%2fY%3e%0d%0a++++++++++++++++%3cImages+%2f%3e%0d%0a++++++++++++++++%3cFormControls+%2f%3e%0d%0a++++++++++++++++%3cGrid+%2f%3e%0d%0a++++++++++++++++%3cExportPage+%2f%3e%0d%0a++++++++++++++++%3cExportRange+%2f%3e%0d%0a++++++++++++++++%3cMaps+%2f%3e%0d%0a++++++++++++++%3c%2fTD%3e%0d%0a++++++++++++++%3cTD%3e%0d%0a++++++++++++++++%3cPSCFormated%3efalse%3c%2fPSCFormated%3e%0d%0a++++++++++++++++%3cStyle%3eClass103%3c%2fStyle%3e%0d%0a++++++++++++++++%3cMerge%3eFalse%3c%2fMerge%3e%0d%0a++++++++++++++++%3cRowSpan+%2f%3e%0d%0a++++++++++++++++%3cColSpan+%2f%3e%0d%0a++++++++++++++++%3cFormat%3e%23%2c%23%230%3c%2fFormat%3e%0d%0a++++++++++++++++%3cWidth%3e55.5%3c%2fWidth%3e%0d%0a++++++++++++++++%3cText+%2f%3e%0d%0a++++++++++++++++%3cHeight%3e12%3c%2fHeight%3e%0d%0a++++++++++++++++%3cAlign%3eCenter%3c%2fAlign%3e%0d%0a++++++++++++++++%3cVerticalAlign+%2f%3e%0d%0a++++++++++++++++%3cCellHasFormula%3eFalse%3c%2fCellHasFormula%3e%0d%0a++++++++++++++++%3cFontName%3eCalibri%3c%2fFontName%3e%0d%0a++++++++++++++++%3cWrapText%3eFalse%3c%2fWrapText%3e%0d%0a++++++++++++++++%3cFontSize%3e8%3c%2fFontSize%3e%0d%0a++++++++++++++++%3cX%3e21%3c%2fX%3e%0d%0a++++++++++++++++%3cY%3e49%3c%2fY%3e%0d%0a++++++++++++++++%3cImages+%2f%3e%0d%0a++++++++++++++++%3cFormControls+%2f%3e%0d%0a++++++++++++++++%3cGrid+%2f%3e%0d%0a++++++++++++++++%3cExportPage+%2f%3e%0d%0a++++++++++++++++%3cExportRange+%2f%3e%0d%0a++++++++++++++++%3cMaps+%2f%3e%0d%0a++++++++++++++%3c%2fTD%3e%0d%0a++++++++++++%3c%2fTDs%3e%0d%0a++++++++++++%3cIsRowVisible%3etrue%3c%2fIsRowVisible%3e%0d%0a++++++++++%3c%2fTR%3e%0d%0a++++++++++%3cTR%3e%0d%0a++++++++++++%3cTDs%3e%0d%0a++++++++++++++%3cTD%3e%0d%0a++++++++++++++++%3cPSCFormated%3efalse%3c%2fPSCFormated%3e%0d%0a++++++++++++++++%3cStyle%3eClass77%3c%2fStyle%3e%0d%0a++++++++++++++++%3cMerge%3eFalse%3c%2fMerge%3e%0d%0a++++++++++++++++%3cRowSpan+%2f%3e%0d%0a++++++++++++++++%3cColSpan+%2f%3e%0d%0a++++++++++++++++%3cFormat%3eGeneral%3c%2fFormat%3e%0d%0a++++++++++++++++%3cWidth%3e50.25%3c%2fWidth%3e%0d%0a++++++++++++++++%3cText+%2f%3e%0d%0a++++++++++++++++%3cHeight%3e12%3c%2fHeight%3e%0d%0a++++++++++++++++%3cAlign%3eLeft%3c%2fAlign%3e%0d%0a++++++++++++++++%3cVerticalAlign+%2f%3e%0d%0a++++++++++++++++%3cCellHasFormula%3eFalse%3c%2fCellHasFormula%3e%0d%0a++++++++++++++++%3cFontName%3eArial%3c%2fFontName%3e%0d%0a++++++++++++++++%3cWrapText%3eFalse%3c%2fWrapText%3e%0d%0a++++++++++++++++%3cFontSize%3e8%3c%2fFontSize%3e%0d%0a++++++++++++++++%3cX%3e1%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2%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56.25%3c%2fWidth%3e%0d%0a++++++++++++++++%3cText+%2f%3e%0d%0a++++++++++++++++%3cHeight%3e12%3c%2fHeight%3e%0d%0a++++++++++++++++%3cAlign%3eLeft%3c%2fAlign%3e%0d%0a++++++++++++++++%3cVerticalAlign+%2f%3e%0d%0a++++++++++++++++%3cCellHasFormula%3eFalse%3c%2fCellHasFormula%3e%0d%0a++++++++++++++++%3cFontName%3eArial%3c%2fFontName%3e%0d%0a++++++++++++++++%3cWrapText%3eFalse%3c%2fWrapText%3e%0d%0a++++++++++++++++%3cFontSize%3e8%3c%2fFontSize%3e%0d%0a++++++++++++++++%3cX%3e3%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4%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5%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6%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7%3c%2fX%3e%0d%0a++++++++++++++++%3cY%3e50%3c%2fY%3e%0d%0a++++++++++++++++%3cImages+%2f%3e%0d%0a++++++++++++++++%3cFormControls+%2f%3e%0d%0a++++++++++++++++%3cGrid+%2f%3e%0d%0a++++++++++++++++%3cExportPage+%2f%3e%0d%0a++++++++++++++++%3cExportRange+%2f%3e%0d%0a++++++++++++++++%3cMaps+%2f%3e%</t>
  </si>
  <si>
    <t xml:space="preserve"> 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8%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9%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14.25%3c%2fWidth%3e%0d%0a++++++++++++++++%3cText+%2f%3e%0d%0a++++++++++++++++%3cHeight%3e12%3c%2fHeight%3e%0d%0a++++++++++++++++%3cAlign%3eLeft%3c%2fAlign%3e%0d%0a++++++++++++++++%3cVerticalAlign+%2f%3e%0d%0a++++++++++++++++%3cCellHasFormula%3eFalse%3c%2fCellHasFormula%3e%0d%0a++++++++++++++++%3cFontName%3eArial%3c%2fFontName%3e%0d%0a++++++++++++++++%3cWrapText%3eFalse%3c%2fWrapText%3e%0d%0a++++++++++++++++%3cFontSize%3e8%3c%2fFontSize%3e%0d%0a++++++++++++++++%3cX%3e10%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11%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12%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Arial%3c%2fFontName%3e%0d%0a++++++++++++++++%3cWrapText%3eFalse%3c%2fWrapText%3e%0d%0a++++++++++++++++%3cFontSize%3e8%3c%2fFontSize%3e%0d%0a++++++++++++++++%3cX%3e13%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Arial%3c%2fFontName%3e%0d%0a++++++++++++++++%3cWrapText%3eFalse%3c%2fWrapText%3e%0d%0a++++++++++++++++%3cFontSize%3e8%3c%2fFontSize%3e%0d%0a++++++++++++++++%3cX%3e14%3c%2fX%3e%0d%0a++++++++++++++++%3cY%3e50%3c%2fY%3e%0d%0a++++++++++++++++%3cImages+%2f%3e%0d%0a++++++++++++++++%3cFormControls+%2f%3e%0d%0a++++++++++++++++%3cGrid+%2f%3e%0d%0a++++++++++++++++%3cExportPage+%2f%3e%0d%0a++++++++++++++++%3cExportRange+%2f%3e%0d%0a++++++++++++++++%3cMaps+%2f%3e%0d%0a++++++++++++++%3c%2fTD%3e%0d%0a++++++++++++++%3cTD%3e%0d%0a++++++++++++++++%3cPSCFormated%3efalse%3c%2fPSCFormated%3e%0d%0a++++++++++++++++%3cStyle%3eClass90%3c%2fStyle%3e%0d%0a++++++++++++++++%3cMerge%3eFalse%3c%2fMerge%3e%0d%0a++++++++++++++++%3cRowSpan+%2f%3e%0d%0a++++++++++++++++%3cColSpan+%2f%3e%0d%0a++++++++++++++++%3cFormat%3eGeneral%3c%2fFormat%3e%0d%0a++++++++++++++++%3cWidth%3e45.75%3c%2fWidth%3e%0d%0a++++++++++++++++%3cText+%2f%3e%0d%0a++++++++++++++++%3cHeight%3e12%3c%2fHeight%3e%0d%0a++++++++++++++++%3cAlign%3eLeft%3c%2fAlign%3e%0d%0a++++++++++++++++%3cVerticalAlign+%2f%3e%0d%0a++++++++++++++++%3cCellHasFormula%3eFalse%3c%2fCellHasFormula%3e%0d%0a++++++++++++++++%3cFontName%3eArial%3c%2fFontName%3e%0d%0a++++++++++++++++%3cWrapText%3eFalse%3c%2fWrapText%3e%0d%0a++++++++++++++++%3cFontSize%3e8%3c%2fFontSize%3e%0d%0a++++++++++++++++%3cX%3e15%3c%2fX%3e%0d%0a++++++++++++++++%3cY%3e50%3c%2fY%3e%0d%0a++++++++++++++++%3cImages+%2f%3e%0d%0a++++++++++++++++%3cFormControls+%2f%3e%0d%0a++++++++++++++++%3cGrid+%2f%3e%0d%0a++++++++++++++++%3cExportPage+%2f%3e%0d%0a++++++++++++++++%3cExportRange+%2f%3e%0d%0a++++++++++++++++%3cMaps+%2f%3e%0d%0a++++++++++++++%3c%2fTD%3e%0d%0a++++++++++++++%3cTD%3e%0d%0a++++++++++++++++%3cPSCFormated%3efalse%3c%2fPSCFormated%3e%0d%0a++++++++++++++++%3cStyle%3eClass79%3c%2fStyle%3e%0d%0a++++++++++++++++%3cMerge%3eFalse%3c%2fMerge%3e%0d%0a++++++++++++++++%3cRowSpan+%2f%3e%0d%0a++++++++++++++++%3cColSpan+%2f%3e%0d%0a++++++++++++++++%3cFormat%3eGeneral%3c%2fFormat%3e%0d%0a++++++++++++++++%3cWidth%3e21%3c%2fWidth%3e%0d%0a++++++++++++++++%3cText+%2f%3e%0d%0a++++++++++++++++%3cHeight%3e12%3c%2fHeight%3e%0d%0a++++++++++++++++%3cAlign%3eLeft%3c%2fAlign%3e%0d%0a++++++++++++++++%3cVerticalAlign+%2f%3e%0d%0a++++++++++++++++%3cCellHasFormula%3eFalse%3c%2fCellHasFormula%3e%0d%0a++++++++++++++++%3cFontName%3eArial%3c%2fFontName%3e%0d%0a++++++++++++++++%3cWrapText%3eFalse%3c%2fWrapText%3e%0d%0a++++++++++++++++%3cFontSize%3e8%3c%2fFontSize%3e%0d%0a++++++++++++++++%3cX%3e16%3c%2fX%3e%0d%0a++++++++++++++++%3cY%3e50%3c%2fY%3e%0d%0a++++++++++++++++%3cImages+%2f%3e%0d%0a++++++++++++++++%3cFormControls+%2f%3e%0d%0a++++++++++++++++%3cGrid+%2f%3e%0d%0a++++++++++++++++%3cExportPage+%2f%3e%0d%0a++++++++++++++++%3cExportRange+%2f%3e%0d%0a++++++++++++++++%3cMaps+%2f%3e%0d%0a++++++++++++++%3c%2fTD%3e%0d%0a++++++++++++++%3cTD%3e%0d%0a++++++++++++++++%3cPSCFormated%3efalse%3c%2fPSCFormated%3e%0d%0a++++++++++++++++%3cStyle%3eClass105%3c%2fStyle%3e%0d%0a++++++++++++++++%3cMerge%3eFalse%3c%2fMerge%3e%0d%0a++++++++++++++++%3cRowSpan+%2f%3e%0d%0a++++++++++++++++%3cColSpan+%2f%3e%0d%0a++++++++++++++++%3cFormat%3eGeneral%3c%2fFormat%3e%0d%0a++++++++++++++++%3cWidth%3e51%3c%2fWidth%3e%0d%0a++++++++++++++++%3cText+%2f%3e%0d%0a++++++++++++++++%3cHeight%3e12%3c%2fHeight%3e%0d%0a++++++++++++++++%3cAlign%3eRight%3c%2fAlign%3e%0d%0a++++++++++++++++%3cVerticalAlign+%2f%3e%0d%0a++++++++++++++++%3cCellHasFormula%3eFalse%3c%2fCellHasFormula%3e%0d%0a++++++++++++++++%3cFontName%3eCalibri%3c%2fFontName%3e%0d%0a++++++++++++++++%3cWrapText%3eFalse%3c%2fWrapText%3e%0d%0a++++++++++++++++%3cFontSize%3e9%3c%2fFontSize%3e%0d%0a++++++++++++++++%3cX%3e17%3c%2fX%3e%0d%0a++++++++++++++++%3cY%3e50%3c%2fY%3e%0d%0a++++++++++++++++%3cImages+%2f%3e%0d%0a++++++++++++++++%3cFormControls+%2f%3e%0d%0a++++++++++++++++%3cGrid+%2f%3e%0d%0a++++++++++++++++%3cExportPage+%2f%3e%0d%0a++++++++++++++++%3cExportRange+%2f%3e%0d%0a++++++++++++++++%3cMaps+%2f%3e%0d%0a++++++++++++++%3c%2fTD%3e%0d%0a++++++++++++++%3cTD%3e%0d%0a++++++++++++++++%3cPSCFormated%3efalse%3c%2fPSCFormated%3e%0d%0a++++++++++++++++%3cStyle%3eClass106%3c%2fStyle%3e%0d%0a++++++++++++++++%3cMerge%3eFalse%3c%2fMerge%3e%0d%0a++++++++++++++++%3cRowSpan+%2f%3e%0d%0a++++++++++++++++%3cColSpan+%2f%3e%0d%0a++++++++++++++++%3cFormat%3eGeneral%3c%2fFormat%3e%0d%0a++++++++++++++++%3cWidth%3e13.5%3c%2fWidth%3e%0d%0a++++++++++++++++%3cText+%2f%3e%0d%0a++++++++++++++++%3cHeight%3e12%3c%2fHeight%3e%0d%0a++++++++++++++++%3cAlign%3eLeft%3c%2fAlign%3e%0d%0a++++++++++++++++%3cVerticalAlign+%2f%3e%0d%0a++++++++++++++++%3cCellHasFormula%3eFalse%3c%2fCellHasFormula%3e%0d%0a++++++++++++++++%3cFontName%3eCalibri%3c%2fFontName%3e%0d%0a++++++++++++++++%3cWrapText%3eFalse%3c%2fWrapText%3e%0d%0a++++++++++++++++%3cFontSize%3e8%3c%2fFontSize%3e%0d%0a++++++++++++++++%3cX%3e18%3c%2fX%3e%0d%0a++++++++++++++++%3cY%3e50%3c%2fY%3e%0d%0a++++++++++++++++%3cImages+%2f%3e%0d%0a++++++++++++++++%3cFormControls+%2f%3e%0d%0a++++++++++++++++%3cGrid+%2f%3e%0d%0a++++++++++++++++%3cExportPage+%2f%3e%0d%0a++++++++++++++++%3cExportRange+%2f%3e%0d%0a++++++++++++++++%3cMaps+%2f%3e%0d%0a++++++++++++++%3c%2fTD%3e%0d%0a++++++++++++++%3cTD%3e%0d%0a++++++++++++++++%3cPSCFormated%3efalse%3c%2fPSCFormated%3e%0d%0a++++++++++++++++%3cStyle%3eClass106%3c%2fStyle%3e%0d%0a++++++++++++++++%3cMerge%3eFalse%3c%2fMerge%3e%0d%0a++++++++++++++++%3cRowSpan+%2f%3e%0d%0a++++++++++++++++%3cColSpan+%2f%3e%0d%0a++++++++++++++++%3cFormat%3eGeneral%3c%2fFormat%3e%0d%0a++++++++++++++++%3cWidth%3e51%3c%2fWidth%3e%0d%0a++++++++++++++++%3cText+%2f%3e%0d%0a++++++++++++++++%3cHeight%3e12%3c%2fHeight%3e%0d%0a++++++++++++++++%3cAlign%3eLeft%3c%2fAlign%3e%0d%0a++++++++++++++++%3cVerticalAlign+%2f%3e%0d%0a++++++++++++++++%3cCellHasFormula%3eFalse%3c%2fCellHasFormula%3e%0d%0a++++++++++++++++%3cFontName%3eCalibri%3c%2fFontName%3e%0d%0a++++++++++++++++%3cWrapText%3eFalse%3c%2fWrapText%3e%0d%0a++++++++++++++++%3cFontSize%3e8%3c%2fFontSize%3e%0d%0a++++++++++++++++%3cX%3e19%3c%2fX%3e%0d%0a++++++++++++++++%3cY%3e50%3c%2fY%3e%0d%0a++++++++++++++++%3cImages+%2f%3e%0d%0a++++++++++++++++%3cFormControls+%2f%3e%0d%0a++++++++++++++++%3cGrid+%2f%3e%0d%0a++++++++++++++++%3cExportPage+%2f%3e%0d%0a++++++++++++++++%3cExportRange+%2f%3e%0d%0a++++++++++++++++%3cMaps+%2f%3e%0d%0a++++++++++++++%3c%2fTD%3e%0d%0a++++++++++++++%3cTD%3e%0d%0a++++++++++++++++%3cPSCFormated%3efalse%3c%2fPSCFormated%3e%0d%0a++++++++++++++++%3cStyle%3eClass106%3c%2fStyle%3e%0d%0a++++++++++++++++%3cMerge%3eFalse%3c%2fMerge%3e%0d%0a++++++++++++++++%3cRowSpan+%2f%3e%0d%0a++++++++++++++++%3cColSpan+%2f%3e%0d%0a++++++++++++++++%3cFormat%3eGeneral%3c%2fFormat%3e%0d%0a++++++++++++++++%3cWidth%3e55.5%3c%2fWidth%3e%0d%0a++++++++++++++++%3cText+%2f%3e%0d%0a++++++++++++++++%3cHeight%3e12%3c%2fHeight%3e%0d%0a++++++++++++++++%3cAlign%3eLeft%3c%2fAlign%3e%0d%0a++++++++++++++++%3cVerticalAlign+%2f%3e%0d%0a++++++++++++++++%3cCellHasFormula%3eFalse%3c%2fCellHasFormula%3e%0d%0a++++++++++++++++%3cFontName%3eCalibri%3c%2fFontName%3e%0d%0a++++++++++++++++%3cWrapText%3eFalse%3c%2fWrapText%3e%0d%0a++++++++++++++++%3cFontSize%3e8%3c%2fFontSize%3e%0d%0a++++++++++++++++%3cX%3e20%3c%2fX%3e%0d%0a++++++++++++++++%3cY%3e50%3c%2fY%3e%0d%0a++++++++++++++++%3cImages+%2f%3e%0d%0a++++++++++++++++%3cFormControls+%2f%3e%0d%0a++++++++++++++++%3cGrid+%2f%3e%0d%0a++++++++++++++++%3cExportPage+%2f%3e%0d%0a++++++++++++++++%3cExportRange+%2f%3e%0d%0a++++++++++++++++%3cMaps+%2f%3e%0d%0a++++++++++++++%3c%2fTD%3e%0d%0a++++++++++++++%3cTD%3e%0d%0a++++++++++++++++%3cPSCFormated%3efalse%3c%2fPSCFormated%3e%0d%0a++++++++++++++++%3cStyle%3eClass107%3c%2fStyle%3e%0d%0a++++++++++++++++%3cMerge%3eFalse%3c%2fMerge%3e%0d%0a++++++++++++++++%3cRowSpan+%2f%3e%0d%0a++++++++++++++++%3cColSpan+%2f%3e%0d%0a++++++++++++++++%3cFormat%3e0.0%25%3c%2fFormat%3e%0d%0a++++++++++++++++%3cWidth%3e55.5%3c%2fWidth%3e%0d%0a++++++++++++++++%3cText+%2f%3e%0d%0a++++++++++++++++%3cHeight%3e12%3c%2fHeight%3e%0d%0a++++++++++++++++%3cAlign%3eCenter%3c%2fAlign%3e%0d%0a++++++++++++++++%3cVerticalAlign+%2f%3e%0d%0a++++++++++++++++%3cCellHasFormula%3eFalse%3c%2fCellHasFormula%3e%0d%0a++++++++++++++++%3cFontName%3eCalibri%3c%2fFontName%3e%0d%0a++++++++++++++++%3cWrapText%3eFalse%3c%2fWrapText%3e%0d%0a++++++++++++++++%3cFontSize%3e8%3c%2fFontSize%3e%0d%0a++++++++++++++++%3cX%3e21%3c%2fX%3e%0d%0a++++++++++++++++%3cY%3e50%3c%2fY%3e%0d%0a++++++++++++++++%3cImages+%2f%3e%0d%0a++++++++++++++++%3cFormControls+%2f%3e%0d%0a++++++++++++++++%3cGrid+%2f%3e%0d%0a++++++++++++++++%3cExportPage+%2f%3e%0d%0a++++++++++++++++%3cExportRange+%2f%3e%0d%0a++++++++++++++++%3cMaps+%2f%3e%0d%0a++++++++++++++%3c%2fTD%3e%0d%0a++++++++++++%3c%2fTDs%3e%0d%0a++++++++++++%3cIsRowVisible%3etrue%3c%2fIsRowVisible%3e%0d%0a++++++++++%3c%2fTR%3e%0d%0a++++++++%3c%2fTRs%3e%0d%0a++++++++%3cPvtStyles+%2f%3e%0d%0a++++++++%3cSheetID%3e0%3c%2fSheetID%3e%0d%0a++++++%3c%2fTable%3e%0d%0a++++%3c%2fTableCollection%3e%0d%0a++%3c%2fTables%3e%0d%0a++%3cPageExportRanges%3e%0d%0a++++%3cExportRangesCollection%3e%0d%0a++++++%3cExportRanges%3e%0d%0a++++++++%3cRanges+%2f%3e%0d%0a++++++++%3cExportType%3ePdf%3c%2fExportType%3e%0d%0a++++++++%3cPageOrientation%3eLandscape%3c%2fPageOrientation%3e%0d%0a++++++++%3cPageSize%3eA4%3c%2fPageSize%3e%0d%0a++++++%3c%2fExportRanges%3e%0d%0a++++%3c%2fExportRangesCollection%3e%0d%0a++%3c%2fPageExportRanges%3e%0d%0a++%3cVersion%3e2.3.0.0%3c%2fVersion%3e%0d%0a++%3cMaps+%2f%3e%0d%0a%3c%2fWizardSettings%3e</t>
  </si>
  <si>
    <t>Phase</t>
  </si>
  <si>
    <t>Units</t>
  </si>
  <si>
    <t>Gear Ovhl</t>
  </si>
  <si>
    <t>APU Rest</t>
  </si>
  <si>
    <t>Eng Rest</t>
  </si>
  <si>
    <t>Eng LLP</t>
  </si>
  <si>
    <t>Derate Factor :</t>
  </si>
  <si>
    <t>Region Factor :</t>
  </si>
  <si>
    <t>Lbs</t>
  </si>
  <si>
    <t>Eng Modules</t>
  </si>
  <si>
    <t>Eng LLPs</t>
  </si>
  <si>
    <t>Part</t>
  </si>
  <si>
    <t>Consumed $</t>
  </si>
  <si>
    <t>Mx Consumption</t>
  </si>
  <si>
    <t>Mx Status</t>
  </si>
  <si>
    <t>Low Thrust / First-Run</t>
  </si>
  <si>
    <t>Low Thrust / Mature-Run</t>
  </si>
  <si>
    <t>High Thrust / First-Run</t>
  </si>
  <si>
    <t>High Thrust / Mature-Run</t>
  </si>
  <si>
    <t>Module</t>
  </si>
  <si>
    <t>Fan</t>
  </si>
  <si>
    <t>HPC</t>
  </si>
  <si>
    <t>HPT</t>
  </si>
  <si>
    <t>LPT</t>
  </si>
  <si>
    <t>Booster</t>
  </si>
  <si>
    <t>Disk</t>
  </si>
  <si>
    <t>Shaft</t>
  </si>
  <si>
    <t>CDP Seal</t>
  </si>
  <si>
    <t>Front Shaft</t>
  </si>
  <si>
    <t>1-2 Spool</t>
  </si>
  <si>
    <t>Disk 3</t>
  </si>
  <si>
    <t>4-9 Spool</t>
  </si>
  <si>
    <t>Front Seal</t>
  </si>
  <si>
    <t>Rear Shaft</t>
  </si>
  <si>
    <t>Conical Sup</t>
  </si>
  <si>
    <t>Stage 1 Disk</t>
  </si>
  <si>
    <t>Stage 2 Disk</t>
  </si>
  <si>
    <t>Stage 3 Disk</t>
  </si>
  <si>
    <t>Stage 4 Disk</t>
  </si>
  <si>
    <t xml:space="preserve"> AIRFRAME SOURCE DATA</t>
  </si>
  <si>
    <t>Mtx Events</t>
  </si>
  <si>
    <t>Mtx Intervals</t>
  </si>
  <si>
    <t>Variance</t>
  </si>
  <si>
    <t xml:space="preserve"> COMPONENT SOURCE DATA</t>
  </si>
  <si>
    <t>Component</t>
  </si>
  <si>
    <t>Variance $</t>
  </si>
  <si>
    <t xml:space="preserve"> ENGINE MODULE SOURCE DATA</t>
  </si>
  <si>
    <t xml:space="preserve">Base </t>
  </si>
  <si>
    <t>Target Build - FC</t>
  </si>
  <si>
    <t xml:space="preserve"> Cost Variance</t>
  </si>
  <si>
    <t>FR</t>
  </si>
  <si>
    <t>MR</t>
  </si>
  <si>
    <t>FR T&amp;M</t>
  </si>
  <si>
    <t>MR T&amp;M</t>
  </si>
  <si>
    <t xml:space="preserve"> ENGINE LLP SOURCE DATA</t>
  </si>
  <si>
    <t>Overhaul</t>
  </si>
  <si>
    <t>Composite Factor :</t>
  </si>
  <si>
    <t>Interval Variance</t>
  </si>
  <si>
    <t>C-Heavy</t>
  </si>
  <si>
    <t>C-Light</t>
  </si>
  <si>
    <t>A-Check</t>
  </si>
  <si>
    <t>Thrust Reverser</t>
  </si>
  <si>
    <t>IDG</t>
  </si>
  <si>
    <t>Brakes (Steel)</t>
  </si>
  <si>
    <t>Brakes (Carbon)</t>
  </si>
  <si>
    <t>$/FC</t>
  </si>
  <si>
    <t>$/FH</t>
  </si>
  <si>
    <t>Variance - FC</t>
  </si>
  <si>
    <t>Tasks</t>
  </si>
  <si>
    <t>C1</t>
  </si>
  <si>
    <t>C1+C2</t>
  </si>
  <si>
    <t>Eng Maturity</t>
  </si>
  <si>
    <t>Month</t>
  </si>
  <si>
    <t>Shop Visit 11 - LLP Status</t>
  </si>
  <si>
    <t>Shop Visit 12 - LLP Status</t>
  </si>
  <si>
    <t>Shop Visit 13 - LLP Status</t>
  </si>
  <si>
    <t>Shop Visit 14 - LLP Status</t>
  </si>
  <si>
    <t>Shop Visit 15 - LLP Status</t>
  </si>
  <si>
    <t>Performance Restoration</t>
  </si>
  <si>
    <t>Operational Factors</t>
  </si>
  <si>
    <t>Equipment</t>
  </si>
  <si>
    <t xml:space="preserve"> Airframe</t>
  </si>
  <si>
    <t xml:space="preserve"> Engine</t>
  </si>
  <si>
    <t xml:space="preserve"> Assembly</t>
  </si>
  <si>
    <t>All</t>
  </si>
  <si>
    <t>LLP Replacement</t>
  </si>
  <si>
    <t>Unit Cost $</t>
  </si>
  <si>
    <t>Replace</t>
  </si>
  <si>
    <t>Test</t>
  </si>
  <si>
    <t>Limiter</t>
  </si>
  <si>
    <t>----------------------------------- Maintenance Intervals ------------------------------------</t>
  </si>
  <si>
    <t>Retread</t>
  </si>
  <si>
    <t>Gear - Main</t>
  </si>
  <si>
    <t>Gear - Nose</t>
  </si>
  <si>
    <t>Wheel - Main</t>
  </si>
  <si>
    <t>Wheel - Nose</t>
  </si>
  <si>
    <t>Tire - Main</t>
  </si>
  <si>
    <t>Tire - Nose</t>
  </si>
  <si>
    <t>Repair</t>
  </si>
  <si>
    <t>-  Avg takeoff derate : 10%</t>
  </si>
  <si>
    <t>-  Temperate environment</t>
  </si>
  <si>
    <t xml:space="preserve"> -  Avg utilization : 3,000 FH / YR</t>
  </si>
  <si>
    <t>Functional Checks &amp; General Servicing</t>
  </si>
  <si>
    <t>Count</t>
  </si>
  <si>
    <t>737-600</t>
  </si>
  <si>
    <t>737-700</t>
  </si>
  <si>
    <t>737-900</t>
  </si>
  <si>
    <t>8Y SI</t>
  </si>
  <si>
    <t>10Y SI</t>
  </si>
  <si>
    <t>12Y SI</t>
  </si>
  <si>
    <t>CFM56-7B18/P</t>
  </si>
  <si>
    <t>CFM56-7B18/3</t>
  </si>
  <si>
    <t>CFM56-7B20/P</t>
  </si>
  <si>
    <t>CFM56-7B20/3</t>
  </si>
  <si>
    <t>CFM56-7B22/P</t>
  </si>
  <si>
    <t>CFM56-7B22/3</t>
  </si>
  <si>
    <t>CFM56-7B24/P</t>
  </si>
  <si>
    <t>CFM56-7B24/3</t>
  </si>
  <si>
    <t>CFM56-7B26/P</t>
  </si>
  <si>
    <t>CFM56-7B26/3</t>
  </si>
  <si>
    <t>CFM56-7B27/P</t>
  </si>
  <si>
    <t>CFM56-7B27/3</t>
  </si>
  <si>
    <t>737-800</t>
  </si>
  <si>
    <t xml:space="preserve"> 737NG FAMILY  - MAINTENANCE COSTS &amp; INTERVALS</t>
  </si>
  <si>
    <t>C1+C2+C4+8Y SI + ADs &amp; SBs &amp; Mods</t>
  </si>
  <si>
    <t>C1+C2+C4+10Y SI + ADs &amp; SBs &amp; Mods</t>
  </si>
  <si>
    <t>C1+C2+C4+C6 +12Y SI + ADs &amp; SBs &amp; Mods + Paint</t>
  </si>
  <si>
    <t>Hot/Harsh</t>
  </si>
  <si>
    <t>DMC</t>
  </si>
  <si>
    <t>Series</t>
  </si>
  <si>
    <t>Rating Check</t>
  </si>
  <si>
    <t>Severity Factors</t>
  </si>
  <si>
    <t>EQUIPMENT INPUTS</t>
  </si>
  <si>
    <t>12Y SC</t>
  </si>
  <si>
    <t>C-Check</t>
  </si>
  <si>
    <t>EVENT</t>
  </si>
  <si>
    <t>COST $</t>
  </si>
  <si>
    <t>MO</t>
  </si>
  <si>
    <t>AIRFRAME</t>
  </si>
  <si>
    <t>ENGINE</t>
  </si>
  <si>
    <t>ANNUAL FH</t>
  </si>
  <si>
    <t>FLIGHT LEG</t>
  </si>
  <si>
    <t>DERATE</t>
  </si>
  <si>
    <t>REGION</t>
  </si>
  <si>
    <t>SV</t>
  </si>
  <si>
    <t>SV (2 Each)</t>
  </si>
  <si>
    <t>Maintenance</t>
  </si>
  <si>
    <t xml:space="preserve"> First-Run</t>
  </si>
  <si>
    <t xml:space="preserve"> Mature-Run</t>
  </si>
  <si>
    <t>CONSOLIDATED CHART DATA</t>
  </si>
  <si>
    <t>Residual</t>
  </si>
  <si>
    <t>GEAR</t>
  </si>
  <si>
    <t>MONTH</t>
  </si>
  <si>
    <t>DATE</t>
  </si>
  <si>
    <t>AIRCRAFT</t>
  </si>
  <si>
    <t>Gear - MLG</t>
  </si>
  <si>
    <t>Gear - NLG</t>
  </si>
  <si>
    <t xml:space="preserve"> Thrust Reverser</t>
  </si>
  <si>
    <t xml:space="preserve"> IDG</t>
  </si>
  <si>
    <t xml:space="preserve"> Wheel MLG</t>
  </si>
  <si>
    <t xml:space="preserve"> Wheel NLG</t>
  </si>
  <si>
    <t xml:space="preserve"> Tire MLG</t>
  </si>
  <si>
    <t xml:space="preserve"> Tire NLG</t>
  </si>
  <si>
    <t xml:space="preserve"> Brake Steel</t>
  </si>
  <si>
    <t xml:space="preserve"> Brake Carbon</t>
  </si>
  <si>
    <t>Replace ( x 4 )</t>
  </si>
  <si>
    <t>Replace ( x 2 )</t>
  </si>
  <si>
    <t>Retread ( x 4 )</t>
  </si>
  <si>
    <t>Retread ( x 2 )</t>
  </si>
  <si>
    <t>Overhaul ( x 4 )</t>
  </si>
  <si>
    <t>Overhaul ( x 2 )</t>
  </si>
  <si>
    <r>
      <t xml:space="preserve"> </t>
    </r>
    <r>
      <rPr>
        <b/>
        <sz val="9"/>
        <color rgb="FF333333"/>
        <rFont val="Calibri"/>
        <family val="2"/>
        <scheme val="minor"/>
      </rPr>
      <t>“APU Performance Restoration”</t>
    </r>
    <r>
      <rPr>
        <sz val="9"/>
        <color rgb="FF333333"/>
        <rFont val="Calibri"/>
        <family val="2"/>
        <scheme val="minor"/>
      </rPr>
      <t xml:space="preserve"> means disassembly &amp; rework of the power section, load impeller and gearbox modules according to the</t>
    </r>
  </si>
  <si>
    <t xml:space="preserve">  Manufacturer’s then current performance restoration and full gas path overhaul criteria.</t>
  </si>
  <si>
    <r>
      <t xml:space="preserve"> </t>
    </r>
    <r>
      <rPr>
        <b/>
        <sz val="9"/>
        <color rgb="FF333333"/>
        <rFont val="Calibri"/>
        <family val="2"/>
        <scheme val="minor"/>
      </rPr>
      <t>“Landing Gear Overhaul”</t>
    </r>
    <r>
      <rPr>
        <sz val="9"/>
        <color rgb="FF333333"/>
        <rFont val="Calibri"/>
        <family val="2"/>
        <scheme val="minor"/>
      </rPr>
      <t xml:space="preserve"> means an overhaul of a Landing Gear assembly in accordance with the Manufacturer's repair manual that </t>
    </r>
  </si>
  <si>
    <t xml:space="preserve">  restores such Landing Gear to a "zero time since overhaul" condition.</t>
  </si>
  <si>
    <r>
      <rPr>
        <b/>
        <sz val="9"/>
        <color rgb="FF333333"/>
        <rFont val="Calibri"/>
        <family val="2"/>
        <scheme val="minor"/>
      </rPr>
      <t xml:space="preserve"> “APU Hour”</t>
    </r>
    <r>
      <rPr>
        <sz val="9"/>
        <color theme="1"/>
        <rFont val="Calibri"/>
        <family val="2"/>
        <scheme val="minor"/>
      </rPr>
      <t xml:space="preserve"> means each hour or part of an hour (measured in minutes) during which the APU is operated.</t>
    </r>
  </si>
  <si>
    <r>
      <rPr>
        <b/>
        <sz val="9"/>
        <color rgb="FF333333"/>
        <rFont val="Calibri"/>
        <family val="2"/>
        <scheme val="minor"/>
      </rPr>
      <t xml:space="preserve"> “Engine Life Limited Part (LLP)”</t>
    </r>
    <r>
      <rPr>
        <sz val="9"/>
        <color rgb="FF333333"/>
        <rFont val="Calibri"/>
        <family val="2"/>
        <scheme val="minor"/>
      </rPr>
      <t xml:space="preserve"> refers to the basic cost of all of the engine's life-limited parts, assuming all-new parts.</t>
    </r>
  </si>
  <si>
    <r>
      <t xml:space="preserve"> </t>
    </r>
    <r>
      <rPr>
        <b/>
        <sz val="9"/>
        <color rgb="FF333333"/>
        <rFont val="Calibri"/>
        <family val="2"/>
        <scheme val="minor"/>
      </rPr>
      <t xml:space="preserve">"Airframe C Check" </t>
    </r>
    <r>
      <rPr>
        <sz val="9"/>
        <color rgb="FF333333"/>
        <rFont val="Calibri"/>
        <family val="2"/>
        <scheme val="minor"/>
      </rPr>
      <t xml:space="preserve">means a check on the Airframe under the Approved Maintenance Program consisting of full and complete zonal, </t>
    </r>
  </si>
  <si>
    <t xml:space="preserve">  systems and structural check and any other maintenance and inspection tasks that are a part of such checks, all in accordance with the</t>
  </si>
  <si>
    <t xml:space="preserve">  then current OEM MPD</t>
  </si>
  <si>
    <r>
      <t xml:space="preserve"> </t>
    </r>
    <r>
      <rPr>
        <b/>
        <sz val="9"/>
        <color rgb="FF333333"/>
        <rFont val="Calibri"/>
        <family val="2"/>
        <scheme val="minor"/>
      </rPr>
      <t>"Airframe Structural Check (SC)"</t>
    </r>
    <r>
      <rPr>
        <sz val="9"/>
        <color rgb="FF333333"/>
        <rFont val="Calibri"/>
        <family val="2"/>
        <scheme val="minor"/>
      </rPr>
      <t xml:space="preserve"> means a structural &amp; zonal inspection of the Aircraft (and resulting repairs) which accomplishes all tasks</t>
    </r>
  </si>
  <si>
    <t xml:space="preserve">   having an interval of 8/10/12 years as per the current revision of the B737-800 MPD and such additional major structural and zonal </t>
  </si>
  <si>
    <t xml:space="preserve">   concurrently therewith as tasks performed as may then be due based upon the cycle interval set out in the MPD. </t>
  </si>
  <si>
    <r>
      <t xml:space="preserve"> </t>
    </r>
    <r>
      <rPr>
        <b/>
        <sz val="9"/>
        <color rgb="FF333333"/>
        <rFont val="Calibri"/>
        <family val="2"/>
        <scheme val="minor"/>
      </rPr>
      <t>"Airframe First-Run"</t>
    </r>
    <r>
      <rPr>
        <sz val="9"/>
        <color rgb="FF333333"/>
        <rFont val="Calibri"/>
        <family val="2"/>
        <scheme val="minor"/>
      </rPr>
      <t xml:space="preserve"> is the initial operating years during which time the airplane structure, systems, and components are new, and at </t>
    </r>
  </si>
  <si>
    <t xml:space="preserve">  which time there is minimal non-routine maintenance.  The airframe's first-run phase is generally considered the first 4 - 6 years of</t>
  </si>
  <si>
    <t xml:space="preserve">  in-service operation.</t>
  </si>
  <si>
    <r>
      <t xml:space="preserve"> </t>
    </r>
    <r>
      <rPr>
        <b/>
        <sz val="9"/>
        <color rgb="FF333333"/>
        <rFont val="Calibri"/>
        <family val="2"/>
        <scheme val="minor"/>
      </rPr>
      <t>"Airframe Aging-Run"</t>
    </r>
    <r>
      <rPr>
        <sz val="9"/>
        <color rgb="FF333333"/>
        <rFont val="Calibri"/>
        <family val="2"/>
        <scheme val="minor"/>
      </rPr>
      <t xml:space="preserve"> begins after the end of the first maintenance cycle when effects of airframe age result in higher non-routine </t>
    </r>
  </si>
  <si>
    <t xml:space="preserve">  maintenance costs.  For the 737NG, this period typically begins after 12 years of in-service operation.</t>
  </si>
  <si>
    <r>
      <t xml:space="preserve"> </t>
    </r>
    <r>
      <rPr>
        <b/>
        <sz val="9"/>
        <color rgb="FF333333"/>
        <rFont val="Calibri"/>
        <family val="2"/>
        <scheme val="minor"/>
      </rPr>
      <t>"Airframe Amture-Run"</t>
    </r>
    <r>
      <rPr>
        <sz val="9"/>
        <color rgb="FF333333"/>
        <rFont val="Calibri"/>
        <family val="2"/>
        <scheme val="minor"/>
      </rPr>
      <t xml:space="preserve"> begins after the first-run phse and generally runs through the first maintenance cycle.  For the 737NG, the first </t>
    </r>
  </si>
  <si>
    <r>
      <t xml:space="preserve"> </t>
    </r>
    <r>
      <rPr>
        <b/>
        <sz val="9"/>
        <color rgb="FF333333"/>
        <rFont val="Calibri"/>
        <family val="2"/>
        <scheme val="minor"/>
      </rPr>
      <t>"Engine Performance Restoration"</t>
    </r>
    <r>
      <rPr>
        <sz val="9"/>
        <color rgb="FF333333"/>
        <rFont val="Calibri"/>
        <family val="2"/>
        <scheme val="minor"/>
      </rPr>
      <t xml:space="preserve"> means, at a minimum, the accomplishment of a performance level workscope on the High Pressure</t>
    </r>
  </si>
  <si>
    <t xml:space="preserve">   Compressor (HPC), Combustor, and High Pressure Turbine (HPT) pursuant to the then current OEM Workscope Planning Guide (WPG) &amp;</t>
  </si>
  <si>
    <t xml:space="preserve">   minimum performance level workscopes required on the Fan/Booster, Low Pressure Turbine (LPT) &amp; Gearbox pursuant to the OEM WPG. </t>
  </si>
  <si>
    <r>
      <rPr>
        <b/>
        <sz val="9"/>
        <color rgb="FF333333"/>
        <rFont val="Calibri"/>
        <family val="2"/>
        <scheme val="minor"/>
      </rPr>
      <t xml:space="preserve"> “Engine First-Run”</t>
    </r>
    <r>
      <rPr>
        <sz val="9"/>
        <color rgb="FF333333"/>
        <rFont val="Calibri"/>
        <family val="2"/>
        <scheme val="minor"/>
      </rPr>
      <t xml:space="preserve"> with respect to an Engine shall refer to the period from new manufacture of the Engine until completion of the first </t>
    </r>
  </si>
  <si>
    <t xml:space="preserve">  accomplishment of a Performance Restoration on such Engine since new manufacture.</t>
  </si>
  <si>
    <r>
      <rPr>
        <b/>
        <sz val="9"/>
        <color rgb="FF333333"/>
        <rFont val="Calibri"/>
        <family val="2"/>
        <scheme val="minor"/>
      </rPr>
      <t xml:space="preserve"> “Engine Mature Run”</t>
    </r>
    <r>
      <rPr>
        <sz val="9"/>
        <color rgb="FF333333"/>
        <rFont val="Calibri"/>
        <family val="2"/>
        <scheme val="minor"/>
      </rPr>
      <t xml:space="preserve"> with respect to an Engine shall refer to the period after completion of the first accomplishment of a Performance </t>
    </r>
  </si>
  <si>
    <t xml:space="preserve">  Restoration on such Engine since new.</t>
  </si>
  <si>
    <t xml:space="preserve">  aircraft, of that other aircraft and for this purpose 1 (one) touch and go shall count as 1 (one) take-off and landing.</t>
  </si>
  <si>
    <r>
      <rPr>
        <b/>
        <sz val="9"/>
        <color rgb="FF333333"/>
        <rFont val="Calibri"/>
        <family val="2"/>
        <scheme val="minor"/>
      </rPr>
      <t xml:space="preserve"> “Flight Hour or FH”</t>
    </r>
    <r>
      <rPr>
        <sz val="9"/>
        <color rgb="FF333333"/>
        <rFont val="Calibri"/>
        <family val="2"/>
        <scheme val="minor"/>
      </rPr>
      <t xml:space="preserve"> means each hour or part thereof elapsing from the moment at which the wheels of the Aircraft, or in the case of any </t>
    </r>
  </si>
  <si>
    <t xml:space="preserve">  Part or Engine temporarily installed on another aircraft, leave the ground on take-off until the wheels touch the ground on landing</t>
  </si>
  <si>
    <t xml:space="preserve">  following such flight.</t>
  </si>
  <si>
    <r>
      <rPr>
        <b/>
        <sz val="9"/>
        <color rgb="FF333333"/>
        <rFont val="Calibri"/>
        <family val="2"/>
        <scheme val="minor"/>
      </rPr>
      <t xml:space="preserve"> "Full-life"</t>
    </r>
    <r>
      <rPr>
        <sz val="9"/>
        <color rgb="FF333333"/>
        <rFont val="Calibri"/>
        <family val="2"/>
        <scheme val="minor"/>
      </rPr>
      <t xml:space="preserve"> implies that each major maintenance event has just been fully restored or overhauled to zero time condition; the airframe</t>
    </r>
  </si>
  <si>
    <t xml:space="preserve">  is fresh from its heavy check, the landing gear is fresh from an overhaul, the engines are fresh from a  performance-restoration shop</t>
  </si>
  <si>
    <t xml:space="preserve">  visit, and all engine Life Limited Parts (LLPs) have zero-life used. </t>
  </si>
  <si>
    <r>
      <rPr>
        <b/>
        <sz val="9"/>
        <color rgb="FF333333"/>
        <rFont val="Calibri"/>
        <family val="2"/>
        <scheme val="minor"/>
      </rPr>
      <t xml:space="preserve"> “Flight Cycle or FC”</t>
    </r>
    <r>
      <rPr>
        <sz val="9"/>
        <color rgb="FF333333"/>
        <rFont val="Calibri"/>
        <family val="2"/>
        <scheme val="minor"/>
      </rPr>
      <t xml:space="preserve"> means one take-off and landing of the Aircraft or, in respect of any Engine or Part temporarily installed on another </t>
    </r>
  </si>
  <si>
    <r>
      <rPr>
        <b/>
        <sz val="9"/>
        <color rgb="FF333333"/>
        <rFont val="Calibri"/>
        <family val="2"/>
        <scheme val="minor"/>
      </rPr>
      <t xml:space="preserve"> "Half-life" </t>
    </r>
    <r>
      <rPr>
        <sz val="9"/>
        <color rgb="FF333333"/>
        <rFont val="Calibri"/>
        <family val="2"/>
        <scheme val="minor"/>
      </rPr>
      <t xml:space="preserve">implies that the airframe, engines, landing gear and all major components are half-way between major overhauls and </t>
    </r>
  </si>
  <si>
    <t xml:space="preserve">  that any life-limited part (for example an engine disk) has used up half of its life. </t>
  </si>
  <si>
    <r>
      <rPr>
        <b/>
        <sz val="9"/>
        <color rgb="FF333333"/>
        <rFont val="Calibri"/>
        <family val="2"/>
        <scheme val="minor"/>
      </rPr>
      <t xml:space="preserve"> "Overhaul"</t>
    </r>
    <r>
      <rPr>
        <sz val="9"/>
        <color rgb="FF333333"/>
        <rFont val="Calibri"/>
        <family val="2"/>
        <scheme val="minor"/>
      </rPr>
      <t xml:space="preserve"> means the work necessary to return an item or Part to the highest standard specified in the relevant overhaul manual.</t>
    </r>
  </si>
  <si>
    <t xml:space="preserve">  maintenance cycle.</t>
  </si>
  <si>
    <t>PR $</t>
  </si>
  <si>
    <t>STUB $</t>
  </si>
  <si>
    <t>C-CHECK</t>
  </si>
  <si>
    <t>RESIDUAL $</t>
  </si>
  <si>
    <t>RESIDUAL %</t>
  </si>
  <si>
    <t>Mx VALUE</t>
  </si>
  <si>
    <t xml:space="preserve">       MODULES</t>
  </si>
  <si>
    <t xml:space="preserve">           APU</t>
  </si>
  <si>
    <t xml:space="preserve">           GEAR</t>
  </si>
  <si>
    <t xml:space="preserve">  CUMULATIVE</t>
  </si>
  <si>
    <t>CONSUMED</t>
  </si>
  <si>
    <t>Rating</t>
  </si>
  <si>
    <t>START</t>
  </si>
  <si>
    <t>TERM - MO</t>
  </si>
  <si>
    <t>OPERATOR</t>
  </si>
  <si>
    <t>WORKSCOPE</t>
  </si>
  <si>
    <t>W/S</t>
  </si>
  <si>
    <t>Sort</t>
  </si>
  <si>
    <t>TBSV-FC</t>
  </si>
  <si>
    <t>TBSV-FH</t>
  </si>
  <si>
    <t>------------------------------------------------------------------------- ENGINE METRICS -------------------------------------------------------------------------</t>
  </si>
  <si>
    <t>TSN</t>
  </si>
  <si>
    <t xml:space="preserve">         SORT BY</t>
  </si>
  <si>
    <t xml:space="preserve">         MAINTENANACE  EVENT</t>
  </si>
  <si>
    <t>Date</t>
  </si>
  <si>
    <t>STUB %</t>
  </si>
  <si>
    <t>Build</t>
  </si>
  <si>
    <t>Goal</t>
  </si>
  <si>
    <t>7,000 FC</t>
  </si>
  <si>
    <t>8,000 FC</t>
  </si>
  <si>
    <t>9,000 FC</t>
  </si>
  <si>
    <t>10,000 FC</t>
  </si>
  <si>
    <t>A318-100</t>
  </si>
  <si>
    <t>A319-100</t>
  </si>
  <si>
    <t>A320-200</t>
  </si>
  <si>
    <t>A321-200</t>
  </si>
  <si>
    <t>6Y SC</t>
  </si>
  <si>
    <t>A318</t>
  </si>
  <si>
    <t>A319</t>
  </si>
  <si>
    <t>A320</t>
  </si>
  <si>
    <t>A321</t>
  </si>
  <si>
    <t>CFM56-5B8/P</t>
  </si>
  <si>
    <t>CFM56-5B8/3</t>
  </si>
  <si>
    <t>CFM56-5B5/P</t>
  </si>
  <si>
    <t>CFM56-5B5/3</t>
  </si>
  <si>
    <t>CFM56-5B9/P</t>
  </si>
  <si>
    <t>CFM56-5B9/3</t>
  </si>
  <si>
    <t>CFM56-5B6/P</t>
  </si>
  <si>
    <t>CFM56-5B6/3</t>
  </si>
  <si>
    <t>V2522-A5</t>
  </si>
  <si>
    <t>V2522-A5/S1</t>
  </si>
  <si>
    <t>V2524-A5</t>
  </si>
  <si>
    <t>V2524-A5/S1</t>
  </si>
  <si>
    <t>CFM56-5B4/P</t>
  </si>
  <si>
    <t>CFM56-5B4/3</t>
  </si>
  <si>
    <t>CFM56-5B7/P</t>
  </si>
  <si>
    <t>CFM56-5B7/3</t>
  </si>
  <si>
    <t>CFM56-5B1/P</t>
  </si>
  <si>
    <t>CFM56-5B1/3</t>
  </si>
  <si>
    <t>CFM56-5B2/P</t>
  </si>
  <si>
    <t>CFM56-5B2/3</t>
  </si>
  <si>
    <t>CFM56-5B3/P</t>
  </si>
  <si>
    <t>CFM56-5B3/3</t>
  </si>
  <si>
    <t>V2527-A5</t>
  </si>
  <si>
    <t>V2527-A5/S1</t>
  </si>
  <si>
    <t>V2530-A5</t>
  </si>
  <si>
    <t>V2530-A5/S1</t>
  </si>
  <si>
    <t>V2533-A5</t>
  </si>
  <si>
    <t>V2533-A5/S1</t>
  </si>
  <si>
    <t>-5B8/P</t>
  </si>
  <si>
    <t>-5B8/3</t>
  </si>
  <si>
    <t>-5B5/3</t>
  </si>
  <si>
    <t>-5B6/3</t>
  </si>
  <si>
    <t>-5B5/P</t>
  </si>
  <si>
    <t>-5B9/P</t>
  </si>
  <si>
    <t>-5B6/P</t>
  </si>
  <si>
    <t>-5B9/3</t>
  </si>
  <si>
    <t>-5B4/P</t>
  </si>
  <si>
    <t>-5B4/3</t>
  </si>
  <si>
    <t>-5B7/P</t>
  </si>
  <si>
    <t>-5B7/3</t>
  </si>
  <si>
    <t>-5B1/P</t>
  </si>
  <si>
    <t>-5B1/3</t>
  </si>
  <si>
    <t>-5B2/P</t>
  </si>
  <si>
    <t>-5B2/3</t>
  </si>
  <si>
    <t>-5B3/P</t>
  </si>
  <si>
    <t>-5B3/3</t>
  </si>
  <si>
    <t>CFM56-5B</t>
  </si>
  <si>
    <t>V2500-A5</t>
  </si>
  <si>
    <t>CFM56-5B LLP LIMITS &amp; COST</t>
  </si>
  <si>
    <t>V2500-A5 LLP LIMITS &amp; COST</t>
  </si>
  <si>
    <t>Stg 1 Disk</t>
  </si>
  <si>
    <t>Stub Shaft</t>
  </si>
  <si>
    <t>1.5-2.5 Disk</t>
  </si>
  <si>
    <t>Stg 3-8 Disk</t>
  </si>
  <si>
    <t>Stg 9-12 Disk</t>
  </si>
  <si>
    <t>Rear Seal</t>
  </si>
  <si>
    <t>Stg 1 Hub</t>
  </si>
  <si>
    <t>Stg 1 O/S</t>
  </si>
  <si>
    <t>Stg 1 I/S</t>
  </si>
  <si>
    <t>Stg 2 Seal</t>
  </si>
  <si>
    <t>Stg 2 Hub</t>
  </si>
  <si>
    <t>Stg 2 Plate</t>
  </si>
  <si>
    <t>Stg 3 Disk</t>
  </si>
  <si>
    <t>Stg 4 Disk</t>
  </si>
  <si>
    <t>Stg 5 Disk</t>
  </si>
  <si>
    <t>Stg 6 Disk</t>
  </si>
  <si>
    <t>Stg 7 Disk</t>
  </si>
  <si>
    <t>Stg 3 A/S</t>
  </si>
  <si>
    <t>Stg 4 A/S</t>
  </si>
  <si>
    <t>Stg 5 A/S</t>
  </si>
  <si>
    <t>Stg 6 I/S</t>
  </si>
  <si>
    <t>Stg 6 A/S</t>
  </si>
  <si>
    <t>Stg 7 A/S</t>
  </si>
  <si>
    <t>5B2</t>
  </si>
  <si>
    <t>5B3</t>
  </si>
  <si>
    <t>6Y SI</t>
  </si>
  <si>
    <t>1C-Check</t>
  </si>
  <si>
    <t>2C-Check</t>
  </si>
  <si>
    <t>3C-Check</t>
  </si>
  <si>
    <t>4C-Check</t>
  </si>
  <si>
    <t>5C-Check</t>
  </si>
  <si>
    <t>6C-Check</t>
  </si>
  <si>
    <t>7C-Check</t>
  </si>
  <si>
    <t>8C-Check</t>
  </si>
  <si>
    <t>9C-Check</t>
  </si>
  <si>
    <t>10C-Check</t>
  </si>
  <si>
    <t>Rank</t>
  </si>
  <si>
    <t>SORT by Event</t>
  </si>
  <si>
    <t>SORT by Date</t>
  </si>
  <si>
    <t>SORT by Event / Date</t>
  </si>
  <si>
    <t>4C+6Y SI</t>
  </si>
  <si>
    <t>8C+12Y SI</t>
  </si>
  <si>
    <t>2524/S1</t>
  </si>
  <si>
    <t>2522/S1</t>
  </si>
  <si>
    <t>2527/S1</t>
  </si>
  <si>
    <t>2530/S1</t>
  </si>
  <si>
    <t>2533/S1</t>
  </si>
  <si>
    <t>7,500 FC</t>
  </si>
  <si>
    <t>8,500 FC</t>
  </si>
  <si>
    <t>9,500 FC</t>
  </si>
  <si>
    <t>------------------------ MAINTENANCE CONSUMED $ ------------------------</t>
  </si>
  <si>
    <t>-------------------------------------------------------------------------- MAINTENANCE RESTORED $ -------------------------------------------------------------------------</t>
  </si>
  <si>
    <t xml:space="preserve">---------- MAINTENANCE RESIDUAL ---------- </t>
  </si>
  <si>
    <t>ENGINE SEVERITY / LABOR FACTORS / DERATE FACTORS</t>
  </si>
  <si>
    <t>LEASE INPUTS</t>
  </si>
  <si>
    <t>MAINTENANCE FORECASTER</t>
  </si>
  <si>
    <t>MAINTENANCE STATUS FORECASTER</t>
  </si>
  <si>
    <t>ENGINE SHOP VISIT - COST FORECASTER</t>
  </si>
  <si>
    <t>AIRCRAFT MAINTENANCE STATUS FORECASTER</t>
  </si>
  <si>
    <t>ENGINE BUILD</t>
  </si>
  <si>
    <t>NOTE</t>
  </si>
  <si>
    <t>Cost projections are</t>
  </si>
  <si>
    <t>in constant dollars</t>
  </si>
  <si>
    <t>AIRCRAFT MAINTENANCE STATUS FORECASTER TUTORIAL</t>
  </si>
  <si>
    <t xml:space="preserve">    INTRODUCTION</t>
  </si>
  <si>
    <t xml:space="preserve">    One of the fundamental factors to be considered when valuing an aircraft is the condition of its maintenance status.  The sometimes wide disparity between appraisals for similarly </t>
  </si>
  <si>
    <t xml:space="preserve">    aged aircraft can often be explained by differences in their maintenance condition.  Therefore, where possible it is useful to quantify in monetary terms the maintenance status of </t>
  </si>
  <si>
    <t xml:space="preserve">    aircraft involved in transactions given a strong relationship exists between the cost of conducting maintenance and value enhancement.</t>
  </si>
  <si>
    <t xml:space="preserve">    The vast majority of aircraft appraisers and traders quantify the value of an aircraft’s maintenance status through analysis of certain, high cost major maintenance events.  </t>
  </si>
  <si>
    <t xml:space="preserve">    These events generally consist of: a.) Airframe heavy check (heavy structural inspection); b.) Engine performance restoration &amp; LLP replacement; c.) Landing gear overhaul; and </t>
  </si>
  <si>
    <t xml:space="preserve">    d.) APU performance restoration.  </t>
  </si>
  <si>
    <r>
      <t xml:space="preserve">    </t>
    </r>
    <r>
      <rPr>
        <b/>
        <sz val="9"/>
        <color theme="1" tint="0.34998626667073579"/>
        <rFont val="Calibri"/>
        <family val="2"/>
        <scheme val="minor"/>
      </rPr>
      <t>Maintenance status</t>
    </r>
    <r>
      <rPr>
        <sz val="9"/>
        <color theme="1" tint="0.34998626667073579"/>
        <rFont val="Calibri"/>
        <family val="2"/>
        <scheme val="minor"/>
      </rPr>
      <t xml:space="preserve"> is used to assess, in whole or part, the value of maintenance utility remaining.  The value of maintenance status can be assessed by analyzing data related </t>
    </r>
  </si>
  <si>
    <t xml:space="preserve">    to an aircraft’s maintenance condition at a specific point in time. The key to quantifying maintenance status lies in making accurate assessment as to: 1.) Where each major </t>
  </si>
  <si>
    <t xml:space="preserve">    maintenance event is relative to their last and next shop visit, and 2.) What percentage of its next shop visit cost is remaining.  Depending on the aircraft type and age, the value </t>
  </si>
  <si>
    <t xml:space="preserve">    of maintenance status can represent a significant proportion of an aircraft’s overall market value.  Where appraisers are responsible for ascertaining the market value of an aircraft, </t>
  </si>
  <si>
    <t xml:space="preserve">    they use, as a baseline reference, two industry-standard terms to represent an aircraft’s maintenance status.   These terms consist of full-life and half-life.</t>
  </si>
  <si>
    <r>
      <t xml:space="preserve">    </t>
    </r>
    <r>
      <rPr>
        <b/>
        <sz val="9"/>
        <color theme="1" tint="0.34998626667073579"/>
        <rFont val="Calibri"/>
        <family val="2"/>
        <scheme val="minor"/>
      </rPr>
      <t>Full-life</t>
    </r>
    <r>
      <rPr>
        <sz val="9"/>
        <color theme="1" tint="0.34998626667073579"/>
        <rFont val="Calibri"/>
        <family val="2"/>
        <scheme val="minor"/>
      </rPr>
      <t xml:space="preserve"> – The full-life status implies that each major maintenance event has just been fully restored or overhauled to zero time condition; the airframe is fresh from its heavy check, </t>
    </r>
  </si>
  <si>
    <t xml:space="preserve">    the landing gear is fresh from an overhaul, the engines are fresh from a performance-restoration shop visit, and all engine Life Limited Parts (LLPs) have zero-life used.   Such a </t>
  </si>
  <si>
    <t xml:space="preserve">    program of maintenance is practically impossible nevertheless full-life status does denote a reference value representing the cost of returning each major maintenance event </t>
  </si>
  <si>
    <t xml:space="preserve">    to full life condition.  For example, the cost of taking an A320-200 from zero-life to full-life is in excess of $11 million dollars.</t>
  </si>
  <si>
    <r>
      <t xml:space="preserve">    </t>
    </r>
    <r>
      <rPr>
        <b/>
        <sz val="9"/>
        <color theme="1" tint="0.34998626667073579"/>
        <rFont val="Calibri"/>
        <family val="2"/>
        <scheme val="minor"/>
      </rPr>
      <t>Half-life</t>
    </r>
    <r>
      <rPr>
        <sz val="9"/>
        <color theme="1" tint="0.34998626667073579"/>
        <rFont val="Calibri"/>
        <family val="2"/>
        <scheme val="minor"/>
      </rPr>
      <t xml:space="preserve"> status assumes that the airframe, engines, landing gear and all major components are half-way between major overhauls and that any life-limited part (for example </t>
    </r>
  </si>
  <si>
    <t xml:space="preserve">    an engine disk) has used up half of its life.  Figure 1 illustrates the full &amp; half-life maintenance status for a new A320 aircraft.         </t>
  </si>
  <si>
    <t>Figure 1 -  Example A320-200 Full &amp; Half-Life Status Valuation (2012 $)</t>
  </si>
  <si>
    <t xml:space="preserve">    FORECASTING MAINTENANCE STATUS</t>
  </si>
  <si>
    <t xml:space="preserve">    Developing fair and accurate assessments of an aircraft’s future maintenance status requires an understanding of the factors that influence the Direct Maintenance Costs (DMC)</t>
  </si>
  <si>
    <r>
      <t xml:space="preserve">    </t>
    </r>
    <r>
      <rPr>
        <b/>
        <sz val="9"/>
        <color theme="1" tint="0.34998626667073579"/>
        <rFont val="Calibri"/>
        <family val="2"/>
        <scheme val="minor"/>
      </rPr>
      <t>1. Aircraft Operation</t>
    </r>
    <r>
      <rPr>
        <sz val="9"/>
        <color theme="1" tint="0.34998626667073579"/>
        <rFont val="Calibri"/>
        <family val="2"/>
        <scheme val="minor"/>
      </rPr>
      <t xml:space="preserve"> – To accurately forecast maintenance status it’s important to consider the type of operation the aircraft will be exposed to.  An aircraft’s maintenance value will </t>
    </r>
  </si>
  <si>
    <t xml:space="preserve">    amortize based on the DMC associated with its specific operational profile.  The same model aircraft operating at different profiles will experience different levels of DMC.  The </t>
  </si>
  <si>
    <r>
      <t xml:space="preserve">• </t>
    </r>
    <r>
      <rPr>
        <b/>
        <sz val="9"/>
        <color theme="1" tint="0.34998626667073579"/>
        <rFont val="Calibri"/>
        <family val="2"/>
        <scheme val="minor"/>
      </rPr>
      <t>Flight length</t>
    </r>
    <r>
      <rPr>
        <sz val="9"/>
        <color theme="1" tint="0.34998626667073579"/>
        <rFont val="Calibri"/>
        <family val="2"/>
        <scheme val="minor"/>
      </rPr>
      <t xml:space="preserve"> – The impact of lower flight length results in higher cyclic loads on an airframe’s structure with the consequence of higher non-routine maintenance.  </t>
    </r>
  </si>
  <si>
    <t xml:space="preserve">Smaller flight segments also force engines to spend a larger proportion of total flight time using take-off and climb power settings resulting in more rapid performance </t>
  </si>
  <si>
    <r>
      <t xml:space="preserve">• </t>
    </r>
    <r>
      <rPr>
        <b/>
        <sz val="9"/>
        <color theme="1" tint="0.34998626667073579"/>
        <rFont val="Calibri"/>
        <family val="2"/>
        <scheme val="minor"/>
      </rPr>
      <t xml:space="preserve">Engine derate </t>
    </r>
    <r>
      <rPr>
        <sz val="9"/>
        <color theme="1" tint="0.34998626667073579"/>
        <rFont val="Calibri"/>
        <family val="2"/>
        <scheme val="minor"/>
      </rPr>
      <t xml:space="preserve">- Take-off derate thrust is a thrust setting that is below the maximum thrust level.  A larger derate translates into lower take-off EGT, resulting in lower </t>
    </r>
  </si>
  <si>
    <r>
      <rPr>
        <b/>
        <sz val="9"/>
        <color theme="1" tint="0.34998626667073579"/>
        <rFont val="Calibri"/>
        <family val="2"/>
        <scheme val="minor"/>
      </rPr>
      <t>• Operating environment</t>
    </r>
    <r>
      <rPr>
        <sz val="9"/>
        <color theme="1" tint="0.34998626667073579"/>
        <rFont val="Calibri"/>
        <family val="2"/>
        <scheme val="minor"/>
      </rPr>
      <t xml:space="preserve"> – More caustic operating environments generally result in higher engine DMC. Engines operating in dusty, sandy and erosive-corrosive environments</t>
    </r>
  </si>
  <si>
    <t xml:space="preserve">   are exposed to higher blade distress and thus greater performance deterioration.  Particulate material due to air pollution, such as dust, sand or industry emissions can</t>
  </si>
  <si>
    <t xml:space="preserve">   erode HPC blades and block HPT vane/blade cooling holes. Other environmental distress symptoms consist of hardware corrosion and oxidation.</t>
  </si>
  <si>
    <t xml:space="preserve">    maintenance costs following its honeymoon phase – defined as the period of time leading up to its first performance restoration.  Therefore, when forecasting maintenance costs </t>
  </si>
  <si>
    <r>
      <t xml:space="preserve">• </t>
    </r>
    <r>
      <rPr>
        <b/>
        <sz val="9"/>
        <color theme="1" tint="0.34998626667073579"/>
        <rFont val="Calibri"/>
        <family val="2"/>
        <scheme val="minor"/>
      </rPr>
      <t>First-Run</t>
    </r>
    <r>
      <rPr>
        <sz val="9"/>
        <color theme="1" tint="0.34998626667073579"/>
        <rFont val="Calibri"/>
        <family val="2"/>
        <scheme val="minor"/>
      </rPr>
      <t xml:space="preserve"> is the initial operating years, often referred to as the honeymoon period.  The structure, systems, and components are new; and there is less non-routine </t>
    </r>
  </si>
  <si>
    <t>maintenance and material scrap rate.  From a maintenance cost perspective, newness is generally considered the first 4-6 years of in-service operation.</t>
  </si>
  <si>
    <r>
      <t xml:space="preserve">• </t>
    </r>
    <r>
      <rPr>
        <b/>
        <sz val="9"/>
        <color theme="1" tint="0.34998626667073579"/>
        <rFont val="Calibri"/>
        <family val="2"/>
        <scheme val="minor"/>
      </rPr>
      <t>Mature-Run</t>
    </r>
    <r>
      <rPr>
        <sz val="9"/>
        <color theme="1" tint="0.34998626667073579"/>
        <rFont val="Calibri"/>
        <family val="2"/>
        <scheme val="minor"/>
      </rPr>
      <t xml:space="preserve"> begins after the newness phase and runs through the first maintenance cycle.  This period typically falls between the first heavy maintenance visit and </t>
    </r>
  </si>
  <si>
    <t>the second maintenance visit.</t>
  </si>
  <si>
    <r>
      <t xml:space="preserve">• </t>
    </r>
    <r>
      <rPr>
        <b/>
        <sz val="9"/>
        <color theme="1" tint="0.34998626667073579"/>
        <rFont val="Calibri"/>
        <family val="2"/>
        <scheme val="minor"/>
      </rPr>
      <t>Aging-Run</t>
    </r>
    <r>
      <rPr>
        <sz val="9"/>
        <color theme="1" tint="0.34998626667073579"/>
        <rFont val="Calibri"/>
        <family val="2"/>
        <scheme val="minor"/>
      </rPr>
      <t xml:space="preserve">  begins after the end of the first maintenance cycle when the effects of airframe age result in higher non-routine maintenance costs.  This period typically </t>
    </r>
  </si>
  <si>
    <r>
      <t xml:space="preserve">    3. </t>
    </r>
    <r>
      <rPr>
        <b/>
        <sz val="10"/>
        <color theme="1" tint="0.34998626667073579"/>
        <rFont val="Calibri"/>
        <family val="2"/>
        <scheme val="minor"/>
      </rPr>
      <t>Maintenance inflation</t>
    </r>
    <r>
      <rPr>
        <sz val="10"/>
        <color theme="1" tint="0.34998626667073579"/>
        <rFont val="Calibri"/>
        <family val="2"/>
        <scheme val="minor"/>
      </rPr>
      <t xml:space="preserve"> is affected by a number of factors, but the most obvious of these factors are increases in both wage and material costs.  Engine manufacturers, in particular, </t>
    </r>
  </si>
  <si>
    <t xml:space="preserve">    escalate their piece-parts by a rate often exceeding the rate of inflation.  In general, newer aircraft would experience deferred inflationary pressures given there is a considerable </t>
  </si>
  <si>
    <t xml:space="preserve">    maintenance “honeymoon” period during which aircraft DMCs are below predicted mature levels.  As an aircraft ages however, the effects of inflation often result in much higher </t>
  </si>
  <si>
    <t xml:space="preserve">    labor and material costs, with the consequence of accelerating higher maintenance costs.  </t>
  </si>
  <si>
    <t xml:space="preserve">    A key risk exposure to aircraft investment is asset risk, with the value of the aircraft at sale being a critical component of overall return on investment.  The investment return will </t>
  </si>
  <si>
    <t xml:space="preserve">    often be influenced by the aircraft’s maintenance status, and therefore trading in commercial aircraft suggests ongoing monitoring and forecasting of an aircraft’s maintenance status.  </t>
  </si>
  <si>
    <t xml:space="preserve">    The analysis of the relationship between an aircraft’s value and its maintenance status reveals the following trends:</t>
  </si>
  <si>
    <t xml:space="preserve">• The value of maintenance status is rarely constant; the volatility of markets inherently translates into volatility of aircraft market values, and by correlation, volatility </t>
  </si>
  <si>
    <t xml:space="preserve">in its maintenance status valuation.  In capacity shortage conditions planes are kept flying and the issue of maintenance status takes on lesser significance.  In a capacity </t>
  </si>
  <si>
    <t>surplus situation, aircraft which have poor maintenance status are often scrapped.</t>
  </si>
  <si>
    <t xml:space="preserve">• In forecasting the future value of maintenance, the operational profile, airframe age, and inflation rate should be considered as an integral part of the methodologies </t>
  </si>
  <si>
    <t>used to assess the value of maintenance.</t>
  </si>
  <si>
    <t xml:space="preserve">• After an aircraft reaches a certain age the main differentiator between specific aircraft of the same vintage will often be the value in their maintenance status.  Thus </t>
  </si>
  <si>
    <t xml:space="preserve">the position in the maintenance cycle is a source of value difference between aircraft of the same type and vintage, and consequently it is useful to quantify in monetary </t>
  </si>
  <si>
    <t xml:space="preserve">terms the value of maintenance status.  </t>
  </si>
  <si>
    <t xml:space="preserve">    key operational factors influencing an aircraft’s DMC are: 1.) Flight length, 2.) Engine derate, and 3.) Operating environment. </t>
  </si>
  <si>
    <t xml:space="preserve">    of each major maintenance event.  These influencing factors consist of the: 1) Aircraft operation, 2) Equipment (Aircraft &amp; Engine) age, and 3) Maintenance inflation.</t>
  </si>
  <si>
    <r>
      <t xml:space="preserve">    2</t>
    </r>
    <r>
      <rPr>
        <b/>
        <sz val="9"/>
        <color theme="1" tint="0.34998626667073579"/>
        <rFont val="Calibri"/>
        <family val="2"/>
        <scheme val="minor"/>
      </rPr>
      <t>. Equipment Age</t>
    </r>
    <r>
      <rPr>
        <sz val="9"/>
        <color theme="1" tint="0.34998626667073579"/>
        <rFont val="Calibri"/>
        <family val="2"/>
        <scheme val="minor"/>
      </rPr>
      <t xml:space="preserve"> - As an aircraft matures, subsequent airframe heavy checks are expected to incur substantially higher non-routine tasks, and engines in particular, will incur higher </t>
    </r>
  </si>
  <si>
    <t>begins after the second heavy maintenance visit and continues to increase with time.</t>
  </si>
  <si>
    <t>Figure 2 -  Influence of Flight Leg &amp; Derate on Engine DMC</t>
  </si>
  <si>
    <t xml:space="preserve">    it’s critical to adjust these expenses to account for the age (or maturity) of the applicable maintenance event.  For aircraft, the aging cycle will generally be broken into three phases</t>
  </si>
  <si>
    <t>deterioration, which translates to higher DMC (Figure 2).</t>
  </si>
  <si>
    <t>engine deterioration rate, longer on-wing life, and reduced DMC (Figure 2).</t>
  </si>
  <si>
    <t>Figure 3 -  Influence of Age on Airframe &amp; Engine DMC</t>
  </si>
  <si>
    <t xml:space="preserve">    consisting of: first-run, mature-run, and aging-run (see Figure 3)</t>
  </si>
  <si>
    <t xml:space="preserve">    Older engines generally cost more to maintain than newer engines.  As an engine ages its average time to shop visit lessens.  First-run engines will last considerably longer </t>
  </si>
  <si>
    <t xml:space="preserve">    on-wing than mature engines.  In fact, it is not uncommon to see first-run engines remaining on-wing 20%-30% longer than mature-run engines.  As the engine ages a </t>
  </si>
  <si>
    <t xml:space="preserve">    disproportionate amount of parts experience higher deterioration rates, higher scrap rates, and correspondingly higher engine maintenance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</si>
</sst>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0.000"/>
    <numFmt numFmtId="166" formatCode="&quot;$&quot;#,##0"/>
    <numFmt numFmtId="167" formatCode="#,##0.000"/>
    <numFmt numFmtId="168" formatCode="0.0000"/>
    <numFmt numFmtId="169" formatCode="#,##0.0"/>
    <numFmt numFmtId="170" formatCode="#,##0;\(#,##0\);\-"/>
    <numFmt numFmtId="171" formatCode="0.0%"/>
    <numFmt numFmtId="172" formatCode="[$-409]dd\-mmm\-yy;@"/>
    <numFmt numFmtId="173" formatCode="[$-409]d\-mmm\-yy;@"/>
    <numFmt numFmtId="174" formatCode="#,##0.0000"/>
    <numFmt numFmtId="175" formatCode="[$-409]mmm\-yy;@"/>
  </numFmts>
  <fonts count="43" x14ac:knownFonts="1">
    <font>
      <sz val="11"/>
      <color theme="1"/>
      <name val="Calibri"/>
      <family val="2"/>
      <scheme val="minor"/>
    </font>
    <font>
      <sz val="11"/>
      <color theme="1"/>
      <name val="Calibri"/>
      <family val="2"/>
      <scheme val="minor"/>
    </font>
    <font>
      <sz val="8"/>
      <color theme="1"/>
      <name val="Calibri"/>
      <family val="2"/>
      <scheme val="minor"/>
    </font>
    <font>
      <b/>
      <sz val="8"/>
      <color theme="0"/>
      <name val="Calibri"/>
      <family val="2"/>
      <scheme val="minor"/>
    </font>
    <font>
      <sz val="8"/>
      <color theme="0"/>
      <name val="Calibri"/>
      <family val="2"/>
      <scheme val="minor"/>
    </font>
    <font>
      <sz val="8"/>
      <name val="Calibri"/>
      <family val="2"/>
      <scheme val="minor"/>
    </font>
    <font>
      <sz val="8"/>
      <color rgb="FFC00000"/>
      <name val="Calibri"/>
      <family val="2"/>
      <scheme val="minor"/>
    </font>
    <font>
      <b/>
      <sz val="8"/>
      <color indexed="9"/>
      <name val="Calibri"/>
      <family val="2"/>
      <scheme val="minor"/>
    </font>
    <font>
      <sz val="8"/>
      <color indexed="9"/>
      <name val="Calibri"/>
      <family val="2"/>
      <scheme val="minor"/>
    </font>
    <font>
      <sz val="8"/>
      <color rgb="FF333333"/>
      <name val="Calibri"/>
      <family val="2"/>
      <scheme val="minor"/>
    </font>
    <font>
      <sz val="8"/>
      <color indexed="63"/>
      <name val="Calibri"/>
      <family val="2"/>
      <scheme val="minor"/>
    </font>
    <font>
      <sz val="8"/>
      <color rgb="FFFF0000"/>
      <name val="Calibri"/>
      <family val="2"/>
      <scheme val="minor"/>
    </font>
    <font>
      <b/>
      <sz val="9"/>
      <name val="Calibri"/>
      <family val="2"/>
      <scheme val="minor"/>
    </font>
    <font>
      <b/>
      <sz val="8"/>
      <color indexed="63"/>
      <name val="Calibri"/>
      <family val="2"/>
      <scheme val="minor"/>
    </font>
    <font>
      <b/>
      <sz val="8"/>
      <color rgb="FF333333"/>
      <name val="Calibri"/>
      <family val="2"/>
      <scheme val="minor"/>
    </font>
    <font>
      <sz val="8"/>
      <color rgb="FF000000"/>
      <name val="Calibri"/>
      <family val="2"/>
      <scheme val="minor"/>
    </font>
    <font>
      <b/>
      <sz val="8"/>
      <color theme="3"/>
      <name val="Calibri"/>
      <family val="2"/>
      <scheme val="minor"/>
    </font>
    <font>
      <sz val="8"/>
      <color theme="1" tint="0.249977111117893"/>
      <name val="Calibri"/>
      <family val="2"/>
      <scheme val="minor"/>
    </font>
    <font>
      <sz val="8"/>
      <color theme="3"/>
      <name val="Calibri"/>
      <family val="2"/>
      <scheme val="minor"/>
    </font>
    <font>
      <b/>
      <sz val="8"/>
      <color rgb="FF000080"/>
      <name val="Calibri"/>
      <family val="2"/>
      <scheme val="minor"/>
    </font>
    <font>
      <u/>
      <sz val="8"/>
      <color theme="1"/>
      <name val="Calibri"/>
      <family val="2"/>
      <scheme val="minor"/>
    </font>
    <font>
      <sz val="9"/>
      <name val="Calibri"/>
      <family val="2"/>
      <scheme val="minor"/>
    </font>
    <font>
      <u/>
      <sz val="8"/>
      <color theme="3"/>
      <name val="Calibri"/>
      <family val="2"/>
      <scheme val="minor"/>
    </font>
    <font>
      <b/>
      <sz val="8"/>
      <color rgb="FF1F497D"/>
      <name val="Calibri"/>
      <family val="2"/>
      <scheme val="minor"/>
    </font>
    <font>
      <sz val="8"/>
      <color theme="1" tint="0.34998626667073579"/>
      <name val="Calibri"/>
      <family val="2"/>
      <scheme val="minor"/>
    </font>
    <font>
      <b/>
      <sz val="8"/>
      <color theme="1" tint="0.34998626667073579"/>
      <name val="Calibri"/>
      <family val="2"/>
      <scheme val="minor"/>
    </font>
    <font>
      <sz val="8"/>
      <color rgb="FF595959"/>
      <name val="Calibri"/>
      <family val="2"/>
      <scheme val="minor"/>
    </font>
    <font>
      <b/>
      <sz val="8"/>
      <color rgb="FF595959"/>
      <name val="Calibri"/>
      <family val="2"/>
      <scheme val="minor"/>
    </font>
    <font>
      <b/>
      <sz val="9"/>
      <color theme="0"/>
      <name val="Calibri"/>
      <family val="2"/>
      <scheme val="minor"/>
    </font>
    <font>
      <sz val="8"/>
      <color theme="0" tint="-0.499984740745262"/>
      <name val="Calibri"/>
      <family val="2"/>
      <scheme val="minor"/>
    </font>
    <font>
      <sz val="9"/>
      <color rgb="FF333333"/>
      <name val="Calibri"/>
      <family val="2"/>
      <scheme val="minor"/>
    </font>
    <font>
      <b/>
      <sz val="9"/>
      <color rgb="FF333333"/>
      <name val="Calibri"/>
      <family val="2"/>
      <scheme val="minor"/>
    </font>
    <font>
      <sz val="9"/>
      <color theme="1"/>
      <name val="Calibri"/>
      <family val="2"/>
      <scheme val="minor"/>
    </font>
    <font>
      <b/>
      <sz val="9"/>
      <color theme="1" tint="0.34998626667073579"/>
      <name val="Calibri"/>
      <family val="2"/>
      <scheme val="minor"/>
    </font>
    <font>
      <b/>
      <sz val="16"/>
      <color theme="0" tint="-0.499984740745262"/>
      <name val="Calibri"/>
      <family val="2"/>
      <scheme val="minor"/>
    </font>
    <font>
      <sz val="9"/>
      <color indexed="81"/>
      <name val="Tahoma"/>
      <family val="2"/>
    </font>
    <font>
      <b/>
      <sz val="9"/>
      <color indexed="81"/>
      <name val="Tahoma"/>
      <family val="2"/>
    </font>
    <font>
      <b/>
      <sz val="16"/>
      <color theme="1"/>
      <name val="Calibri"/>
      <family val="2"/>
      <scheme val="minor"/>
    </font>
    <font>
      <b/>
      <sz val="11"/>
      <color theme="1" tint="0.34998626667073579"/>
      <name val="Calibri"/>
      <family val="2"/>
      <scheme val="minor"/>
    </font>
    <font>
      <sz val="9"/>
      <color theme="1" tint="0.34998626667073579"/>
      <name val="Calibri"/>
      <family val="2"/>
      <scheme val="minor"/>
    </font>
    <font>
      <sz val="10"/>
      <color theme="0"/>
      <name val="Calibri"/>
      <family val="2"/>
      <scheme val="minor"/>
    </font>
    <font>
      <b/>
      <sz val="10"/>
      <color theme="1" tint="0.34998626667073579"/>
      <name val="Calibri"/>
      <family val="2"/>
      <scheme val="minor"/>
    </font>
    <font>
      <sz val="10"/>
      <color theme="1" tint="0.34998626667073579"/>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DFB9F"/>
        <bgColor indexed="64"/>
      </patternFill>
    </fill>
    <fill>
      <patternFill patternType="solid">
        <fgColor rgb="FFDBE5F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
      <patternFill patternType="solid">
        <fgColor rgb="FFFFFFFF"/>
        <bgColor rgb="FF000000"/>
      </patternFill>
    </fill>
    <fill>
      <patternFill patternType="solid">
        <fgColor rgb="FFFEFCBE"/>
        <bgColor indexed="64"/>
      </patternFill>
    </fill>
    <fill>
      <patternFill patternType="solid">
        <fgColor rgb="FFFFFFFF"/>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D9D9D9"/>
        <bgColor indexed="64"/>
      </patternFill>
    </fill>
    <fill>
      <patternFill patternType="solid">
        <fgColor rgb="FF595959"/>
        <bgColor indexed="64"/>
      </patternFill>
    </fill>
    <fill>
      <patternFill patternType="solid">
        <fgColor rgb="FFA6A6A6"/>
        <bgColor indexed="64"/>
      </patternFill>
    </fill>
    <fill>
      <patternFill patternType="solid">
        <fgColor rgb="FF055073"/>
        <bgColor indexed="64"/>
      </patternFill>
    </fill>
    <fill>
      <patternFill patternType="solid">
        <fgColor rgb="FFF5F5EB"/>
        <bgColor indexed="64"/>
      </patternFill>
    </fill>
    <fill>
      <patternFill patternType="solid">
        <fgColor rgb="FFFFFFB3"/>
        <bgColor indexed="64"/>
      </patternFill>
    </fill>
    <fill>
      <patternFill patternType="solid">
        <fgColor theme="1" tint="0.34998626667073579"/>
        <bgColor indexed="64"/>
      </patternFill>
    </fill>
  </fills>
  <borders count="86">
    <border>
      <left/>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top/>
      <bottom style="thin">
        <color indexed="9"/>
      </bottom>
      <diagonal/>
    </border>
    <border>
      <left style="hair">
        <color theme="4"/>
      </left>
      <right style="hair">
        <color theme="4"/>
      </right>
      <top style="hair">
        <color theme="4"/>
      </top>
      <bottom style="hair">
        <color theme="4"/>
      </bottom>
      <diagonal/>
    </border>
    <border>
      <left style="hair">
        <color theme="3"/>
      </left>
      <right style="hair">
        <color theme="3"/>
      </right>
      <top style="hair">
        <color theme="3"/>
      </top>
      <bottom style="hair">
        <color theme="3"/>
      </bottom>
      <diagonal/>
    </border>
    <border>
      <left/>
      <right/>
      <top style="thin">
        <color theme="0"/>
      </top>
      <bottom style="thin">
        <color theme="0"/>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style="thin">
        <color indexed="9"/>
      </right>
      <top/>
      <bottom style="thin">
        <color indexed="9"/>
      </bottom>
      <diagonal/>
    </border>
    <border>
      <left style="thin">
        <color indexed="9"/>
      </left>
      <right/>
      <top/>
      <bottom style="thin">
        <color indexed="9"/>
      </bottom>
      <diagonal/>
    </border>
    <border>
      <left/>
      <right/>
      <top/>
      <bottom style="thin">
        <color theme="0"/>
      </bottom>
      <diagonal/>
    </border>
    <border>
      <left/>
      <right style="thin">
        <color theme="0"/>
      </right>
      <top/>
      <bottom style="thin">
        <color theme="0"/>
      </bottom>
      <diagonal/>
    </border>
    <border>
      <left/>
      <right/>
      <top style="thin">
        <color theme="4"/>
      </top>
      <bottom/>
      <diagonal/>
    </border>
    <border>
      <left style="thin">
        <color theme="0"/>
      </left>
      <right/>
      <top/>
      <bottom style="thin">
        <color theme="0"/>
      </bottom>
      <diagonal/>
    </border>
    <border>
      <left/>
      <right/>
      <top style="thin">
        <color rgb="FF4A7EBB"/>
      </top>
      <bottom/>
      <diagonal/>
    </border>
    <border>
      <left/>
      <right/>
      <top/>
      <bottom style="thin">
        <color rgb="FF4A7EBB"/>
      </bottom>
      <diagonal/>
    </border>
    <border>
      <left/>
      <right/>
      <top style="thin">
        <color theme="0"/>
      </top>
      <bottom/>
      <diagonal/>
    </border>
    <border>
      <left style="thin">
        <color theme="0"/>
      </left>
      <right/>
      <top style="thin">
        <color indexed="9"/>
      </top>
      <bottom style="thin">
        <color indexed="9"/>
      </bottom>
      <diagonal/>
    </border>
    <border>
      <left/>
      <right style="thin">
        <color theme="0"/>
      </right>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thin">
        <color indexed="9"/>
      </right>
      <top style="thin">
        <color indexed="9"/>
      </top>
      <bottom/>
      <diagonal/>
    </border>
    <border>
      <left style="hair">
        <color theme="0" tint="-0.24994659260841701"/>
      </left>
      <right style="hair">
        <color theme="0" tint="-0.24994659260841701"/>
      </right>
      <top/>
      <bottom style="hair">
        <color theme="0" tint="-0.24994659260841701"/>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indexed="23"/>
      </left>
      <right style="hair">
        <color indexed="23"/>
      </right>
      <top style="hair">
        <color indexed="23"/>
      </top>
      <bottom style="hair">
        <color indexed="23"/>
      </bottom>
      <diagonal/>
    </border>
    <border>
      <left style="thin">
        <color theme="0"/>
      </left>
      <right style="thin">
        <color indexed="9"/>
      </right>
      <top style="thin">
        <color indexed="9"/>
      </top>
      <bottom/>
      <diagonal/>
    </border>
    <border>
      <left style="hair">
        <color theme="1" tint="0.499984740745262"/>
      </left>
      <right style="hair">
        <color theme="1" tint="0.499984740745262"/>
      </right>
      <top/>
      <bottom style="hair">
        <color theme="1" tint="0.499984740745262"/>
      </bottom>
      <diagonal/>
    </border>
    <border>
      <left style="hair">
        <color indexed="23"/>
      </left>
      <right style="hair">
        <color indexed="23"/>
      </right>
      <top/>
      <bottom style="hair">
        <color indexed="23"/>
      </bottom>
      <diagonal/>
    </border>
    <border>
      <left style="thin">
        <color indexed="9"/>
      </left>
      <right/>
      <top style="thin">
        <color indexed="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9"/>
      </left>
      <right/>
      <top style="thin">
        <color indexed="9"/>
      </top>
      <bottom style="thin">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hair">
        <color theme="0"/>
      </left>
      <right/>
      <top style="thin">
        <color indexed="9"/>
      </top>
      <bottom/>
      <diagonal/>
    </border>
    <border>
      <left style="thin">
        <color theme="0"/>
      </left>
      <right style="thin">
        <color theme="0"/>
      </right>
      <top style="thin">
        <color indexed="9"/>
      </top>
      <bottom/>
      <diagonal/>
    </border>
    <border>
      <left style="hair">
        <color theme="0"/>
      </left>
      <right/>
      <top/>
      <bottom style="thin">
        <color indexed="64"/>
      </bottom>
      <diagonal/>
    </border>
    <border>
      <left style="thin">
        <color theme="0"/>
      </left>
      <right style="thin">
        <color theme="0"/>
      </right>
      <top/>
      <bottom style="thin">
        <color indexed="64"/>
      </bottom>
      <diagonal/>
    </border>
    <border>
      <left style="thin">
        <color theme="0"/>
      </left>
      <right style="thin">
        <color indexed="9"/>
      </right>
      <top/>
      <bottom style="thin">
        <color indexed="64"/>
      </bottom>
      <diagonal/>
    </border>
    <border>
      <left/>
      <right style="thin">
        <color theme="0"/>
      </right>
      <top/>
      <bottom style="thin">
        <color indexed="64"/>
      </bottom>
      <diagonal/>
    </border>
    <border>
      <left style="hair">
        <color theme="0" tint="-0.24994659260841701"/>
      </left>
      <right style="hair">
        <color theme="0" tint="-0.24994659260841701"/>
      </right>
      <top style="hair">
        <color theme="0" tint="-0.24994659260841701"/>
      </top>
      <bottom/>
      <diagonal/>
    </border>
    <border>
      <left style="thin">
        <color rgb="FF055073"/>
      </left>
      <right/>
      <top style="thin">
        <color rgb="FF055073"/>
      </top>
      <bottom style="thin">
        <color rgb="FF055073"/>
      </bottom>
      <diagonal/>
    </border>
    <border>
      <left/>
      <right style="thin">
        <color rgb="FF055073"/>
      </right>
      <top style="thin">
        <color rgb="FF055073"/>
      </top>
      <bottom style="thin">
        <color rgb="FF05507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34998626667073579"/>
      </left>
      <right style="thin">
        <color theme="0" tint="-0.34998626667073579"/>
      </right>
      <top style="thin">
        <color rgb="FF055073"/>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indexed="9"/>
      </left>
      <right/>
      <top style="thin">
        <color indexed="9"/>
      </top>
      <bottom style="thin">
        <color theme="0" tint="-0.34998626667073579"/>
      </bottom>
      <diagonal/>
    </border>
    <border>
      <left/>
      <right style="thin">
        <color theme="0" tint="-0.14993743705557422"/>
      </right>
      <top style="thin">
        <color theme="0" tint="-0.14996795556505021"/>
      </top>
      <bottom style="thin">
        <color theme="0" tint="-0.1499679555650502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1" tint="0.499984740745262"/>
      </top>
      <bottom style="thin">
        <color theme="1" tint="0.499984740745262"/>
      </bottom>
      <diagonal/>
    </border>
    <border>
      <left/>
      <right/>
      <top/>
      <bottom style="thin">
        <color theme="1" tint="0.34998626667073579"/>
      </bottom>
      <diagonal/>
    </border>
    <border>
      <left/>
      <right style="thin">
        <color indexed="9"/>
      </right>
      <top style="thin">
        <color indexed="9"/>
      </top>
      <bottom style="thin">
        <color theme="1" tint="0.34998626667073579"/>
      </bottom>
      <diagonal/>
    </border>
    <border>
      <left style="thin">
        <color indexed="9"/>
      </left>
      <right style="thin">
        <color indexed="9"/>
      </right>
      <top style="thin">
        <color indexed="9"/>
      </top>
      <bottom style="thin">
        <color theme="1" tint="0.34998626667073579"/>
      </bottom>
      <diagonal/>
    </border>
    <border>
      <left/>
      <right/>
      <top style="thin">
        <color indexed="9"/>
      </top>
      <bottom style="thin">
        <color theme="1" tint="0.34998626667073579"/>
      </bottom>
      <diagonal/>
    </border>
    <border>
      <left/>
      <right style="thin">
        <color indexed="9"/>
      </right>
      <top/>
      <bottom style="thin">
        <color theme="1" tint="0.34998626667073579"/>
      </bottom>
      <diagonal/>
    </border>
    <border>
      <left style="thin">
        <color indexed="9"/>
      </left>
      <right style="thin">
        <color indexed="9"/>
      </right>
      <top style="thin">
        <color theme="0"/>
      </top>
      <bottom style="thin">
        <color theme="1" tint="0.34998626667073579"/>
      </bottom>
      <diagonal/>
    </border>
    <border>
      <left style="thin">
        <color theme="0" tint="-0.14996795556505021"/>
      </left>
      <right/>
      <top style="thin">
        <color theme="0"/>
      </top>
      <bottom/>
      <diagonal/>
    </border>
    <border>
      <left style="thin">
        <color theme="0" tint="-0.14996795556505021"/>
      </left>
      <right/>
      <top style="thin">
        <color theme="0"/>
      </top>
      <bottom style="thin">
        <color theme="0" tint="-0.14996795556505021"/>
      </bottom>
      <diagonal/>
    </border>
    <border>
      <left/>
      <right/>
      <top style="thin">
        <color theme="0"/>
      </top>
      <bottom style="thin">
        <color theme="0" tint="-0.14996795556505021"/>
      </bottom>
      <diagonal/>
    </border>
    <border>
      <left style="thin">
        <color theme="0" tint="-0.14993743705557422"/>
      </left>
      <right/>
      <top style="thin">
        <color theme="0"/>
      </top>
      <bottom style="thin">
        <color theme="0" tint="-0.14996795556505021"/>
      </bottom>
      <diagonal/>
    </border>
    <border>
      <left/>
      <right style="thin">
        <color theme="0" tint="-0.14996795556505021"/>
      </right>
      <top style="thin">
        <color theme="0"/>
      </top>
      <bottom style="thin">
        <color theme="0" tint="-0.14996795556505021"/>
      </bottom>
      <diagonal/>
    </border>
    <border>
      <left/>
      <right/>
      <top style="thin">
        <color theme="1" tint="0.34998626667073579"/>
      </top>
      <bottom/>
      <diagonal/>
    </border>
  </borders>
  <cellStyleXfs count="2">
    <xf numFmtId="0" fontId="0" fillId="0" borderId="0"/>
    <xf numFmtId="9" fontId="1" fillId="0" borderId="0" applyFont="0" applyFill="0" applyBorder="0" applyAlignment="0" applyProtection="0"/>
  </cellStyleXfs>
  <cellXfs count="559">
    <xf numFmtId="0" fontId="0" fillId="0" borderId="0" xfId="0"/>
    <xf numFmtId="0" fontId="10" fillId="3" borderId="0" xfId="0" applyFont="1" applyFill="1" applyBorder="1" applyAlignment="1" applyProtection="1">
      <alignment horizontal="center"/>
    </xf>
    <xf numFmtId="0" fontId="10" fillId="3" borderId="0" xfId="0" applyFont="1" applyFill="1" applyBorder="1" applyAlignment="1" applyProtection="1">
      <alignment horizontal="left"/>
    </xf>
    <xf numFmtId="0" fontId="3" fillId="3" borderId="0" xfId="0" applyFont="1" applyFill="1" applyBorder="1" applyAlignment="1" applyProtection="1"/>
    <xf numFmtId="0" fontId="9" fillId="3" borderId="0" xfId="0" applyFont="1" applyFill="1" applyBorder="1" applyProtection="1"/>
    <xf numFmtId="0" fontId="9" fillId="3" borderId="0" xfId="0" applyFont="1" applyFill="1" applyBorder="1" applyAlignment="1" applyProtection="1">
      <alignment horizontal="center"/>
    </xf>
    <xf numFmtId="0" fontId="11" fillId="3" borderId="0" xfId="0" applyFont="1" applyFill="1" applyAlignment="1" applyProtection="1">
      <alignment horizontal="center"/>
    </xf>
    <xf numFmtId="0" fontId="11" fillId="3" borderId="0" xfId="0" applyFont="1" applyFill="1" applyProtection="1"/>
    <xf numFmtId="0" fontId="2" fillId="3" borderId="0" xfId="0" applyFont="1" applyFill="1" applyAlignment="1" applyProtection="1">
      <alignment horizontal="center"/>
    </xf>
    <xf numFmtId="0" fontId="2" fillId="3" borderId="0" xfId="0" applyFont="1" applyFill="1" applyProtection="1"/>
    <xf numFmtId="167" fontId="5" fillId="5" borderId="5" xfId="0" applyNumberFormat="1" applyFont="1" applyFill="1" applyBorder="1" applyAlignment="1" applyProtection="1">
      <alignment horizontal="center"/>
    </xf>
    <xf numFmtId="167" fontId="5" fillId="5" borderId="12" xfId="0" applyNumberFormat="1" applyFont="1" applyFill="1" applyBorder="1" applyAlignment="1" applyProtection="1">
      <alignment horizontal="center"/>
    </xf>
    <xf numFmtId="167" fontId="5" fillId="5" borderId="11" xfId="0" applyNumberFormat="1" applyFont="1" applyFill="1" applyBorder="1" applyAlignment="1" applyProtection="1">
      <alignment horizontal="center"/>
    </xf>
    <xf numFmtId="0" fontId="9" fillId="3" borderId="0" xfId="0" applyFont="1" applyFill="1" applyProtection="1"/>
    <xf numFmtId="0" fontId="9" fillId="3" borderId="0" xfId="0" applyFont="1" applyFill="1" applyAlignment="1" applyProtection="1">
      <alignment horizontal="center"/>
    </xf>
    <xf numFmtId="169" fontId="5" fillId="5" borderId="12" xfId="0" applyNumberFormat="1" applyFont="1" applyFill="1" applyBorder="1" applyAlignment="1" applyProtection="1">
      <alignment horizontal="center"/>
    </xf>
    <xf numFmtId="167" fontId="5" fillId="5" borderId="6" xfId="0" applyNumberFormat="1" applyFont="1" applyFill="1" applyBorder="1" applyAlignment="1" applyProtection="1">
      <alignment horizontal="center"/>
    </xf>
    <xf numFmtId="164" fontId="9" fillId="3" borderId="0" xfId="0" applyNumberFormat="1" applyFont="1" applyFill="1" applyBorder="1" applyAlignment="1" applyProtection="1">
      <alignment horizontal="center"/>
    </xf>
    <xf numFmtId="168" fontId="9" fillId="3" borderId="0" xfId="0" applyNumberFormat="1" applyFont="1" applyFill="1" applyBorder="1" applyAlignment="1" applyProtection="1">
      <alignment horizontal="center"/>
    </xf>
    <xf numFmtId="3" fontId="9" fillId="3" borderId="0" xfId="0" applyNumberFormat="1" applyFont="1" applyFill="1" applyBorder="1" applyAlignment="1" applyProtection="1">
      <alignment horizontal="center"/>
    </xf>
    <xf numFmtId="2" fontId="9" fillId="3" borderId="0" xfId="0" applyNumberFormat="1" applyFont="1" applyFill="1" applyBorder="1" applyAlignment="1" applyProtection="1">
      <alignment horizontal="center"/>
    </xf>
    <xf numFmtId="9" fontId="2" fillId="3" borderId="0" xfId="0" applyNumberFormat="1" applyFont="1" applyFill="1" applyAlignment="1" applyProtection="1">
      <alignment horizontal="center"/>
    </xf>
    <xf numFmtId="0" fontId="2" fillId="3" borderId="0" xfId="0" applyFont="1" applyFill="1" applyAlignment="1" applyProtection="1">
      <alignment horizontal="left"/>
    </xf>
    <xf numFmtId="3" fontId="2" fillId="3" borderId="0" xfId="0" applyNumberFormat="1" applyFont="1" applyFill="1" applyAlignment="1" applyProtection="1">
      <alignment horizontal="center"/>
    </xf>
    <xf numFmtId="0" fontId="9" fillId="3" borderId="0" xfId="0" applyFont="1" applyFill="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2" fontId="2" fillId="3" borderId="0" xfId="0" applyNumberFormat="1" applyFont="1" applyFill="1" applyAlignment="1" applyProtection="1">
      <alignment horizontal="center"/>
    </xf>
    <xf numFmtId="168" fontId="2" fillId="3" borderId="0" xfId="0" applyNumberFormat="1" applyFont="1" applyFill="1" applyAlignment="1" applyProtection="1">
      <alignment horizontal="center"/>
    </xf>
    <xf numFmtId="167" fontId="5" fillId="3" borderId="0" xfId="0" applyNumberFormat="1" applyFont="1" applyFill="1" applyBorder="1" applyAlignment="1" applyProtection="1">
      <alignment horizontal="center"/>
    </xf>
    <xf numFmtId="0" fontId="5" fillId="3" borderId="0" xfId="0" applyFont="1" applyFill="1" applyBorder="1" applyProtection="1"/>
    <xf numFmtId="2" fontId="9" fillId="3" borderId="0" xfId="0" applyNumberFormat="1" applyFont="1" applyFill="1" applyAlignment="1" applyProtection="1">
      <alignment horizontal="center"/>
    </xf>
    <xf numFmtId="168" fontId="9" fillId="3" borderId="0" xfId="0" applyNumberFormat="1" applyFont="1" applyFill="1" applyAlignment="1" applyProtection="1">
      <alignment horizontal="center"/>
    </xf>
    <xf numFmtId="3" fontId="6" fillId="3" borderId="0" xfId="0" applyNumberFormat="1" applyFont="1" applyFill="1" applyAlignment="1" applyProtection="1">
      <alignment horizontal="center"/>
    </xf>
    <xf numFmtId="2" fontId="6" fillId="3" borderId="0" xfId="0" applyNumberFormat="1" applyFont="1" applyFill="1" applyAlignment="1" applyProtection="1">
      <alignment horizontal="center"/>
    </xf>
    <xf numFmtId="1" fontId="2" fillId="3" borderId="0" xfId="0" applyNumberFormat="1" applyFont="1" applyFill="1" applyAlignment="1" applyProtection="1">
      <alignment horizontal="center"/>
    </xf>
    <xf numFmtId="0" fontId="5" fillId="3" borderId="0" xfId="0" applyFont="1" applyFill="1" applyProtection="1"/>
    <xf numFmtId="3" fontId="2" fillId="3" borderId="0" xfId="0" applyNumberFormat="1" applyFont="1" applyFill="1" applyProtection="1"/>
    <xf numFmtId="1" fontId="9" fillId="3" borderId="0" xfId="0" applyNumberFormat="1" applyFont="1" applyFill="1" applyBorder="1" applyAlignment="1" applyProtection="1">
      <alignment horizontal="center"/>
    </xf>
    <xf numFmtId="0" fontId="14" fillId="3" borderId="0" xfId="0" applyFont="1" applyFill="1" applyBorder="1" applyAlignment="1" applyProtection="1">
      <alignment horizontal="center"/>
    </xf>
    <xf numFmtId="0" fontId="5" fillId="3" borderId="0" xfId="0" applyFont="1" applyFill="1" applyAlignment="1" applyProtection="1">
      <alignment horizontal="center"/>
    </xf>
    <xf numFmtId="3" fontId="5" fillId="3" borderId="0" xfId="0" applyNumberFormat="1" applyFont="1" applyFill="1" applyAlignment="1" applyProtection="1">
      <alignment horizontal="center"/>
    </xf>
    <xf numFmtId="170" fontId="5" fillId="3" borderId="0" xfId="0" applyNumberFormat="1" applyFont="1" applyFill="1" applyAlignment="1" applyProtection="1">
      <alignment horizontal="center"/>
    </xf>
    <xf numFmtId="9" fontId="5" fillId="3" borderId="0" xfId="0" applyNumberFormat="1" applyFont="1" applyFill="1" applyAlignment="1" applyProtection="1">
      <alignment horizontal="center"/>
    </xf>
    <xf numFmtId="0" fontId="15" fillId="3" borderId="0" xfId="0" applyFont="1" applyFill="1" applyAlignment="1" applyProtection="1">
      <alignment horizontal="center"/>
    </xf>
    <xf numFmtId="10" fontId="9" fillId="3" borderId="0" xfId="0" applyNumberFormat="1" applyFont="1" applyFill="1" applyBorder="1" applyAlignment="1" applyProtection="1">
      <alignment horizontal="left"/>
    </xf>
    <xf numFmtId="2" fontId="10" fillId="3" borderId="0" xfId="0" applyNumberFormat="1" applyFont="1" applyFill="1" applyBorder="1" applyAlignment="1" applyProtection="1">
      <alignment horizontal="center"/>
    </xf>
    <xf numFmtId="0" fontId="4" fillId="3" borderId="0" xfId="0" applyFont="1" applyFill="1" applyAlignment="1" applyProtection="1">
      <alignment horizontal="left"/>
    </xf>
    <xf numFmtId="0" fontId="2" fillId="3" borderId="0" xfId="0" applyFont="1" applyFill="1" applyBorder="1" applyAlignment="1" applyProtection="1">
      <alignment horizontal="left"/>
    </xf>
    <xf numFmtId="168" fontId="9" fillId="6" borderId="25" xfId="0" applyNumberFormat="1" applyFont="1" applyFill="1" applyBorder="1" applyAlignment="1" applyProtection="1">
      <alignment horizontal="center"/>
      <protection hidden="1"/>
    </xf>
    <xf numFmtId="3" fontId="5" fillId="3" borderId="0" xfId="0" applyNumberFormat="1" applyFont="1" applyFill="1" applyBorder="1" applyAlignment="1" applyProtection="1">
      <alignment horizontal="center"/>
    </xf>
    <xf numFmtId="2" fontId="5" fillId="3" borderId="0" xfId="0" applyNumberFormat="1" applyFont="1" applyFill="1" applyBorder="1" applyAlignment="1" applyProtection="1">
      <alignment horizontal="center"/>
    </xf>
    <xf numFmtId="0" fontId="2" fillId="3" borderId="0" xfId="0" applyFont="1" applyFill="1" applyProtection="1">
      <protection locked="0"/>
    </xf>
    <xf numFmtId="0" fontId="16" fillId="3" borderId="0" xfId="0" applyFont="1" applyFill="1" applyProtection="1">
      <protection locked="0"/>
    </xf>
    <xf numFmtId="0" fontId="18" fillId="3" borderId="0" xfId="0" applyFont="1" applyFill="1" applyProtection="1">
      <protection locked="0"/>
    </xf>
    <xf numFmtId="0" fontId="9" fillId="3" borderId="0" xfId="0" applyFont="1" applyFill="1" applyAlignment="1" applyProtection="1">
      <alignment horizontal="left"/>
      <protection locked="0"/>
    </xf>
    <xf numFmtId="164" fontId="17" fillId="3" borderId="0" xfId="0" applyNumberFormat="1" applyFont="1" applyFill="1" applyBorder="1" applyAlignment="1" applyProtection="1">
      <alignment horizontal="left"/>
      <protection locked="0"/>
    </xf>
    <xf numFmtId="0" fontId="14" fillId="3" borderId="0" xfId="0" applyFont="1" applyFill="1" applyProtection="1">
      <protection locked="0"/>
    </xf>
    <xf numFmtId="168" fontId="9" fillId="6" borderId="27" xfId="0" applyNumberFormat="1" applyFont="1" applyFill="1" applyBorder="1" applyAlignment="1" applyProtection="1">
      <alignment horizontal="center"/>
      <protection hidden="1"/>
    </xf>
    <xf numFmtId="2" fontId="11" fillId="3" borderId="0" xfId="0" applyNumberFormat="1" applyFont="1" applyFill="1" applyBorder="1" applyAlignment="1" applyProtection="1">
      <alignment horizontal="center"/>
    </xf>
    <xf numFmtId="168" fontId="11" fillId="3" borderId="0" xfId="0" applyNumberFormat="1" applyFont="1" applyFill="1" applyBorder="1" applyAlignment="1" applyProtection="1">
      <alignment horizontal="center"/>
    </xf>
    <xf numFmtId="168" fontId="11" fillId="8" borderId="0" xfId="0" applyNumberFormat="1" applyFont="1" applyFill="1" applyBorder="1" applyAlignment="1" applyProtection="1">
      <alignment horizontal="center"/>
    </xf>
    <xf numFmtId="3" fontId="2" fillId="8" borderId="0" xfId="0" applyNumberFormat="1" applyFont="1" applyFill="1" applyAlignment="1" applyProtection="1">
      <alignment horizontal="center"/>
    </xf>
    <xf numFmtId="2" fontId="2" fillId="8" borderId="0" xfId="0" applyNumberFormat="1" applyFont="1" applyFill="1" applyAlignment="1" applyProtection="1">
      <alignment horizontal="center"/>
    </xf>
    <xf numFmtId="3" fontId="5" fillId="8" borderId="0" xfId="0" applyNumberFormat="1" applyFont="1" applyFill="1" applyBorder="1" applyAlignment="1" applyProtection="1">
      <alignment horizontal="center"/>
    </xf>
    <xf numFmtId="2" fontId="5" fillId="8" borderId="0" xfId="0" applyNumberFormat="1" applyFont="1" applyFill="1" applyBorder="1" applyAlignment="1" applyProtection="1">
      <alignment horizontal="center"/>
    </xf>
    <xf numFmtId="3" fontId="9" fillId="3" borderId="0" xfId="0" applyNumberFormat="1" applyFont="1" applyFill="1" applyAlignment="1" applyProtection="1">
      <alignment horizontal="center"/>
    </xf>
    <xf numFmtId="0" fontId="4" fillId="3" borderId="0" xfId="0" applyFont="1" applyFill="1" applyProtection="1"/>
    <xf numFmtId="0" fontId="4" fillId="3" borderId="0" xfId="0" applyFont="1" applyFill="1" applyAlignment="1" applyProtection="1">
      <alignment horizontal="center"/>
    </xf>
    <xf numFmtId="3" fontId="2" fillId="3" borderId="0" xfId="0" applyNumberFormat="1" applyFont="1" applyFill="1" applyAlignment="1" applyProtection="1">
      <alignment horizontal="left"/>
    </xf>
    <xf numFmtId="0" fontId="7" fillId="3" borderId="0" xfId="0" applyFont="1" applyFill="1" applyBorder="1" applyAlignment="1" applyProtection="1">
      <alignment horizontal="left"/>
    </xf>
    <xf numFmtId="168" fontId="9" fillId="3" borderId="0" xfId="0" applyNumberFormat="1" applyFont="1" applyFill="1" applyBorder="1" applyAlignment="1" applyProtection="1">
      <alignment horizontal="center"/>
      <protection hidden="1"/>
    </xf>
    <xf numFmtId="0" fontId="9" fillId="4" borderId="8" xfId="0" applyFont="1" applyFill="1" applyBorder="1" applyProtection="1">
      <protection locked="0"/>
    </xf>
    <xf numFmtId="0" fontId="9" fillId="4" borderId="9" xfId="0" applyFont="1" applyFill="1" applyBorder="1" applyProtection="1">
      <protection locked="0"/>
    </xf>
    <xf numFmtId="0" fontId="9" fillId="5" borderId="0" xfId="0" applyFont="1" applyFill="1" applyProtection="1"/>
    <xf numFmtId="3" fontId="9" fillId="3" borderId="0" xfId="0" applyNumberFormat="1" applyFont="1" applyFill="1" applyProtection="1"/>
    <xf numFmtId="0" fontId="16" fillId="5" borderId="21" xfId="0" applyFont="1" applyFill="1" applyBorder="1" applyAlignment="1" applyProtection="1"/>
    <xf numFmtId="170" fontId="2" fillId="3" borderId="0" xfId="0" applyNumberFormat="1" applyFont="1" applyFill="1" applyBorder="1" applyAlignment="1" applyProtection="1">
      <alignment horizontal="center"/>
    </xf>
    <xf numFmtId="170" fontId="4" fillId="3" borderId="0" xfId="0" applyNumberFormat="1" applyFont="1" applyFill="1" applyAlignment="1" applyProtection="1">
      <alignment horizontal="center"/>
    </xf>
    <xf numFmtId="173" fontId="2" fillId="3" borderId="0" xfId="0" applyNumberFormat="1" applyFont="1" applyFill="1" applyAlignment="1" applyProtection="1">
      <alignment horizontal="center"/>
    </xf>
    <xf numFmtId="170" fontId="2" fillId="3" borderId="0" xfId="0" applyNumberFormat="1" applyFont="1" applyFill="1" applyAlignment="1" applyProtection="1">
      <alignment horizontal="center"/>
    </xf>
    <xf numFmtId="9" fontId="2" fillId="3" borderId="0" xfId="1" applyFont="1" applyFill="1" applyBorder="1" applyAlignment="1" applyProtection="1">
      <alignment horizontal="center"/>
    </xf>
    <xf numFmtId="3" fontId="9" fillId="3" borderId="0" xfId="0" applyNumberFormat="1" applyFont="1" applyFill="1" applyAlignment="1" applyProtection="1">
      <alignment horizontal="left"/>
    </xf>
    <xf numFmtId="0" fontId="16" fillId="5" borderId="18" xfId="0" applyFont="1" applyFill="1" applyBorder="1" applyAlignment="1" applyProtection="1"/>
    <xf numFmtId="0" fontId="16" fillId="5" borderId="18" xfId="0" applyFont="1" applyFill="1" applyBorder="1" applyAlignment="1" applyProtection="1">
      <alignment horizontal="center"/>
    </xf>
    <xf numFmtId="0" fontId="9" fillId="5" borderId="0" xfId="0" applyFont="1" applyFill="1" applyAlignment="1" applyProtection="1">
      <alignment horizontal="center"/>
    </xf>
    <xf numFmtId="0" fontId="9" fillId="5" borderId="0" xfId="0" applyFont="1" applyFill="1" applyAlignment="1" applyProtection="1">
      <alignment vertical="center"/>
    </xf>
    <xf numFmtId="0" fontId="9" fillId="3" borderId="0" xfId="0" applyFont="1" applyFill="1" applyAlignment="1" applyProtection="1">
      <alignment vertical="center"/>
    </xf>
    <xf numFmtId="0" fontId="23" fillId="3" borderId="0" xfId="0" applyFont="1" applyFill="1" applyProtection="1"/>
    <xf numFmtId="0" fontId="9" fillId="3" borderId="0" xfId="0" quotePrefix="1" applyFont="1" applyFill="1" applyProtection="1"/>
    <xf numFmtId="0" fontId="9" fillId="2" borderId="0" xfId="0" applyFont="1" applyFill="1" applyBorder="1" applyAlignment="1" applyProtection="1">
      <alignment horizontal="center"/>
    </xf>
    <xf numFmtId="9" fontId="2" fillId="3" borderId="0" xfId="1" applyFont="1" applyFill="1" applyAlignment="1" applyProtection="1">
      <alignment horizontal="left"/>
    </xf>
    <xf numFmtId="167" fontId="5" fillId="5" borderId="1" xfId="0" applyNumberFormat="1" applyFont="1" applyFill="1" applyBorder="1" applyAlignment="1" applyProtection="1">
      <alignment horizontal="center"/>
      <protection hidden="1"/>
    </xf>
    <xf numFmtId="167" fontId="5" fillId="5" borderId="2" xfId="0" applyNumberFormat="1" applyFont="1" applyFill="1" applyBorder="1" applyAlignment="1" applyProtection="1">
      <alignment horizontal="center"/>
      <protection hidden="1"/>
    </xf>
    <xf numFmtId="167" fontId="5" fillId="5" borderId="3" xfId="0" applyNumberFormat="1" applyFont="1" applyFill="1" applyBorder="1" applyAlignment="1" applyProtection="1">
      <alignment horizontal="center"/>
      <protection hidden="1"/>
    </xf>
    <xf numFmtId="0" fontId="7" fillId="12" borderId="0" xfId="0" applyFont="1" applyFill="1" applyBorder="1" applyAlignment="1" applyProtection="1">
      <alignment horizontal="left"/>
    </xf>
    <xf numFmtId="0" fontId="7" fillId="12" borderId="0" xfId="0" applyFont="1" applyFill="1" applyBorder="1" applyProtection="1"/>
    <xf numFmtId="0" fontId="8" fillId="12" borderId="0" xfId="0" applyFont="1" applyFill="1" applyBorder="1" applyAlignment="1" applyProtection="1">
      <alignment horizontal="center"/>
    </xf>
    <xf numFmtId="0" fontId="7" fillId="12" borderId="2" xfId="0" applyFont="1" applyFill="1" applyBorder="1" applyAlignment="1" applyProtection="1">
      <alignment horizontal="center"/>
    </xf>
    <xf numFmtId="3" fontId="9" fillId="3" borderId="0" xfId="0" applyNumberFormat="1" applyFont="1" applyFill="1" applyAlignment="1" applyProtection="1">
      <alignment horizontal="left" vertical="center"/>
    </xf>
    <xf numFmtId="3" fontId="9" fillId="3" borderId="0" xfId="0" applyNumberFormat="1" applyFont="1" applyFill="1" applyBorder="1" applyAlignment="1" applyProtection="1">
      <alignment vertical="center"/>
    </xf>
    <xf numFmtId="0" fontId="9" fillId="3" borderId="0" xfId="0" applyFont="1" applyFill="1" applyBorder="1" applyAlignment="1" applyProtection="1">
      <alignment vertical="center"/>
    </xf>
    <xf numFmtId="3" fontId="9" fillId="3" borderId="0" xfId="0" applyNumberFormat="1" applyFont="1" applyFill="1" applyBorder="1" applyAlignment="1" applyProtection="1">
      <alignment horizontal="center" vertical="center"/>
    </xf>
    <xf numFmtId="3" fontId="9" fillId="5" borderId="0" xfId="0" applyNumberFormat="1" applyFont="1" applyFill="1" applyAlignment="1" applyProtection="1">
      <alignment vertical="center"/>
    </xf>
    <xf numFmtId="0" fontId="3" fillId="12" borderId="1" xfId="0" applyFont="1" applyFill="1" applyBorder="1" applyAlignment="1" applyProtection="1">
      <alignment horizontal="left"/>
    </xf>
    <xf numFmtId="0" fontId="4" fillId="12" borderId="10" xfId="0" applyFont="1" applyFill="1" applyBorder="1" applyAlignment="1" applyProtection="1">
      <alignment horizontal="left"/>
    </xf>
    <xf numFmtId="3" fontId="4" fillId="12" borderId="10" xfId="0" applyNumberFormat="1" applyFont="1" applyFill="1" applyBorder="1" applyAlignment="1" applyProtection="1">
      <alignment horizontal="left"/>
    </xf>
    <xf numFmtId="0" fontId="8" fillId="12" borderId="2" xfId="0" applyFont="1" applyFill="1" applyBorder="1" applyAlignment="1" applyProtection="1">
      <alignment horizontal="left"/>
    </xf>
    <xf numFmtId="0" fontId="8" fillId="12" borderId="2" xfId="0" applyFont="1" applyFill="1" applyBorder="1" applyAlignment="1" applyProtection="1">
      <alignment horizontal="center"/>
    </xf>
    <xf numFmtId="0" fontId="7" fillId="12" borderId="1" xfId="0" applyFont="1" applyFill="1" applyBorder="1" applyAlignment="1" applyProtection="1">
      <alignment horizontal="center"/>
    </xf>
    <xf numFmtId="0" fontId="9" fillId="5" borderId="0" xfId="0" applyFont="1" applyFill="1" applyAlignment="1" applyProtection="1">
      <alignment horizontal="left" vertical="center" wrapText="1"/>
    </xf>
    <xf numFmtId="3" fontId="9" fillId="5" borderId="0" xfId="0" applyNumberFormat="1" applyFont="1" applyFill="1" applyAlignment="1" applyProtection="1">
      <alignment horizontal="center" vertical="center"/>
    </xf>
    <xf numFmtId="0" fontId="9" fillId="5" borderId="0" xfId="0" applyFont="1" applyFill="1" applyAlignment="1" applyProtection="1">
      <alignment horizontal="center" vertical="center"/>
    </xf>
    <xf numFmtId="0" fontId="9" fillId="5" borderId="0"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0" fontId="9" fillId="3" borderId="0" xfId="0" applyFont="1" applyFill="1" applyAlignment="1" applyProtection="1">
      <alignment horizontal="center" vertical="center"/>
    </xf>
    <xf numFmtId="0" fontId="9" fillId="3" borderId="0" xfId="0" applyFont="1" applyFill="1" applyBorder="1" applyAlignment="1" applyProtection="1">
      <alignment horizontal="center" vertical="center"/>
    </xf>
    <xf numFmtId="3" fontId="9" fillId="3" borderId="0" xfId="0" applyNumberFormat="1" applyFont="1" applyFill="1" applyAlignment="1" applyProtection="1">
      <alignment horizontal="center" vertical="center"/>
    </xf>
    <xf numFmtId="0" fontId="9" fillId="3" borderId="0" xfId="0" applyFont="1" applyFill="1" applyBorder="1" applyAlignment="1" applyProtection="1">
      <alignment horizontal="left" vertical="center" wrapText="1"/>
    </xf>
    <xf numFmtId="3" fontId="9" fillId="3" borderId="0" xfId="0" applyNumberFormat="1" applyFont="1" applyFill="1" applyBorder="1" applyAlignment="1" applyProtection="1">
      <alignment horizontal="left" vertical="center"/>
    </xf>
    <xf numFmtId="3" fontId="9" fillId="5" borderId="0" xfId="0" applyNumberFormat="1" applyFont="1" applyFill="1" applyBorder="1" applyAlignment="1" applyProtection="1">
      <alignment horizontal="left" vertical="center"/>
    </xf>
    <xf numFmtId="0" fontId="16" fillId="5" borderId="21" xfId="0" applyFont="1" applyFill="1" applyBorder="1" applyAlignment="1" applyProtection="1">
      <alignment horizontal="center"/>
    </xf>
    <xf numFmtId="167" fontId="5" fillId="5" borderId="1" xfId="0" applyNumberFormat="1" applyFont="1" applyFill="1" applyBorder="1" applyAlignment="1" applyProtection="1">
      <alignment horizontal="center"/>
    </xf>
    <xf numFmtId="167" fontId="5" fillId="5" borderId="2" xfId="0" applyNumberFormat="1" applyFont="1" applyFill="1" applyBorder="1" applyAlignment="1" applyProtection="1">
      <alignment horizontal="center"/>
    </xf>
    <xf numFmtId="167" fontId="5" fillId="5" borderId="3" xfId="0" applyNumberFormat="1" applyFont="1" applyFill="1" applyBorder="1" applyAlignment="1" applyProtection="1">
      <alignment horizontal="center"/>
    </xf>
    <xf numFmtId="167" fontId="5" fillId="5" borderId="15" xfId="0" applyNumberFormat="1" applyFont="1" applyFill="1" applyBorder="1" applyAlignment="1" applyProtection="1">
      <alignment horizontal="center"/>
    </xf>
    <xf numFmtId="167" fontId="5" fillId="5" borderId="7" xfId="0" applyNumberFormat="1" applyFont="1" applyFill="1" applyBorder="1" applyAlignment="1" applyProtection="1">
      <alignment horizontal="center"/>
    </xf>
    <xf numFmtId="167" fontId="5" fillId="5" borderId="14" xfId="0" applyNumberFormat="1" applyFont="1" applyFill="1" applyBorder="1" applyAlignment="1" applyProtection="1">
      <alignment horizontal="center"/>
    </xf>
    <xf numFmtId="174" fontId="21" fillId="9" borderId="0" xfId="0" applyNumberFormat="1" applyFont="1" applyFill="1" applyBorder="1" applyAlignment="1" applyProtection="1">
      <alignment horizontal="center"/>
    </xf>
    <xf numFmtId="0" fontId="16" fillId="3" borderId="0" xfId="0" applyFont="1" applyFill="1" applyProtection="1"/>
    <xf numFmtId="0" fontId="22" fillId="3" borderId="0" xfId="0" applyFont="1" applyFill="1" applyProtection="1"/>
    <xf numFmtId="0" fontId="9" fillId="2" borderId="0" xfId="0" applyFont="1" applyFill="1" applyBorder="1" applyAlignment="1" applyProtection="1">
      <alignment horizontal="left"/>
    </xf>
    <xf numFmtId="0" fontId="20" fillId="3" borderId="0" xfId="0" applyFont="1" applyFill="1" applyProtection="1"/>
    <xf numFmtId="0" fontId="20" fillId="3" borderId="0" xfId="0" applyFont="1" applyFill="1" applyProtection="1">
      <protection locked="0"/>
    </xf>
    <xf numFmtId="1" fontId="9" fillId="3" borderId="0" xfId="0" applyNumberFormat="1" applyFont="1" applyFill="1" applyAlignment="1" applyProtection="1">
      <alignment horizontal="center"/>
    </xf>
    <xf numFmtId="168" fontId="2" fillId="3" borderId="0" xfId="0" applyNumberFormat="1" applyFont="1" applyFill="1" applyProtection="1"/>
    <xf numFmtId="2" fontId="6" fillId="3" borderId="0" xfId="0" applyNumberFormat="1" applyFont="1" applyFill="1" applyBorder="1" applyAlignment="1" applyProtection="1">
      <alignment horizontal="center"/>
    </xf>
    <xf numFmtId="168" fontId="6" fillId="3" borderId="0" xfId="0" applyNumberFormat="1" applyFont="1" applyFill="1" applyBorder="1" applyAlignment="1" applyProtection="1">
      <alignment horizontal="center"/>
    </xf>
    <xf numFmtId="3" fontId="6" fillId="3" borderId="0" xfId="0" applyNumberFormat="1" applyFont="1" applyFill="1" applyBorder="1" applyAlignment="1" applyProtection="1">
      <alignment horizontal="center"/>
    </xf>
    <xf numFmtId="2" fontId="6" fillId="10" borderId="0" xfId="0" applyNumberFormat="1" applyFont="1" applyFill="1" applyBorder="1" applyAlignment="1" applyProtection="1">
      <alignment horizontal="center"/>
    </xf>
    <xf numFmtId="168" fontId="6" fillId="10" borderId="0" xfId="0" applyNumberFormat="1" applyFont="1" applyFill="1" applyBorder="1" applyAlignment="1" applyProtection="1">
      <alignment horizontal="center"/>
    </xf>
    <xf numFmtId="3" fontId="6" fillId="10" borderId="0" xfId="0" applyNumberFormat="1" applyFont="1" applyFill="1" applyBorder="1" applyAlignment="1" applyProtection="1">
      <alignment horizontal="center"/>
    </xf>
    <xf numFmtId="168" fontId="6" fillId="6" borderId="25" xfId="0" applyNumberFormat="1" applyFont="1" applyFill="1" applyBorder="1" applyAlignment="1" applyProtection="1">
      <alignment horizontal="center"/>
      <protection hidden="1"/>
    </xf>
    <xf numFmtId="0" fontId="2" fillId="3" borderId="0" xfId="0" applyFont="1" applyFill="1"/>
    <xf numFmtId="3" fontId="26" fillId="3" borderId="0" xfId="0" applyNumberFormat="1" applyFont="1" applyFill="1" applyBorder="1" applyAlignment="1" applyProtection="1">
      <alignment horizontal="center"/>
    </xf>
    <xf numFmtId="0" fontId="26" fillId="3" borderId="0" xfId="0" applyFont="1" applyFill="1" applyBorder="1" applyProtection="1"/>
    <xf numFmtId="0" fontId="9" fillId="3" borderId="40" xfId="0" applyFont="1" applyFill="1" applyBorder="1" applyProtection="1"/>
    <xf numFmtId="0" fontId="2" fillId="3" borderId="40" xfId="0" applyFont="1" applyFill="1" applyBorder="1" applyProtection="1"/>
    <xf numFmtId="2" fontId="9" fillId="3" borderId="40" xfId="0" applyNumberFormat="1" applyFont="1" applyFill="1" applyBorder="1" applyAlignment="1" applyProtection="1">
      <alignment horizontal="center"/>
    </xf>
    <xf numFmtId="0" fontId="6" fillId="3" borderId="0" xfId="0" applyFont="1" applyFill="1" applyAlignment="1" applyProtection="1">
      <alignment horizontal="center"/>
    </xf>
    <xf numFmtId="0" fontId="7" fillId="15" borderId="0" xfId="0" applyFont="1" applyFill="1" applyBorder="1" applyAlignment="1" applyProtection="1">
      <alignment horizontal="left"/>
    </xf>
    <xf numFmtId="0" fontId="6" fillId="3" borderId="0" xfId="0" applyFont="1" applyFill="1" applyProtection="1"/>
    <xf numFmtId="9" fontId="5" fillId="3" borderId="0" xfId="1" applyFont="1" applyFill="1" applyAlignment="1" applyProtection="1">
      <alignment horizontal="center"/>
    </xf>
    <xf numFmtId="0" fontId="7" fillId="15" borderId="2" xfId="0" applyFont="1" applyFill="1" applyBorder="1" applyAlignment="1" applyProtection="1">
      <alignment horizontal="left"/>
    </xf>
    <xf numFmtId="0" fontId="26" fillId="3" borderId="0" xfId="0" applyFont="1" applyFill="1" applyProtection="1"/>
    <xf numFmtId="170" fontId="26" fillId="3" borderId="0" xfId="0" applyNumberFormat="1" applyFont="1" applyFill="1" applyBorder="1" applyAlignment="1" applyProtection="1">
      <alignment horizontal="center"/>
    </xf>
    <xf numFmtId="0" fontId="26" fillId="3" borderId="0" xfId="0" applyFont="1" applyFill="1" applyAlignment="1" applyProtection="1">
      <alignment horizontal="center"/>
    </xf>
    <xf numFmtId="0" fontId="26" fillId="0" borderId="31" xfId="0" applyFont="1" applyFill="1" applyBorder="1" applyAlignment="1" applyProtection="1">
      <alignment horizontal="left"/>
    </xf>
    <xf numFmtId="3" fontId="26" fillId="10" borderId="31" xfId="0" applyNumberFormat="1" applyFont="1" applyFill="1" applyBorder="1" applyAlignment="1" applyProtection="1">
      <alignment horizontal="center"/>
    </xf>
    <xf numFmtId="4" fontId="26" fillId="7" borderId="31" xfId="0" applyNumberFormat="1" applyFont="1" applyFill="1" applyBorder="1" applyAlignment="1" applyProtection="1">
      <alignment horizontal="center"/>
      <protection hidden="1"/>
    </xf>
    <xf numFmtId="3" fontId="26" fillId="7" borderId="31" xfId="0" applyNumberFormat="1" applyFont="1" applyFill="1" applyBorder="1" applyAlignment="1" applyProtection="1">
      <alignment horizontal="center"/>
    </xf>
    <xf numFmtId="0" fontId="26" fillId="0" borderId="31" xfId="0" applyNumberFormat="1" applyFont="1" applyFill="1" applyBorder="1" applyAlignment="1" applyProtection="1">
      <alignment horizontal="left"/>
    </xf>
    <xf numFmtId="0" fontId="26" fillId="0" borderId="31" xfId="0" applyNumberFormat="1" applyFont="1" applyFill="1" applyBorder="1" applyAlignment="1" applyProtection="1">
      <alignment horizontal="center"/>
    </xf>
    <xf numFmtId="3" fontId="26" fillId="0" borderId="31" xfId="0" applyNumberFormat="1" applyFont="1" applyFill="1" applyBorder="1" applyAlignment="1" applyProtection="1">
      <alignment horizontal="center"/>
    </xf>
    <xf numFmtId="0" fontId="26" fillId="3" borderId="0" xfId="0" applyFont="1" applyFill="1" applyAlignment="1" applyProtection="1">
      <alignment horizontal="left"/>
    </xf>
    <xf numFmtId="0" fontId="26" fillId="2" borderId="27" xfId="0" applyFont="1" applyFill="1" applyBorder="1" applyAlignment="1" applyProtection="1">
      <alignment vertical="center"/>
    </xf>
    <xf numFmtId="0" fontId="26" fillId="0" borderId="28" xfId="0" applyFont="1" applyFill="1" applyBorder="1" applyAlignment="1" applyProtection="1">
      <alignment horizontal="left"/>
    </xf>
    <xf numFmtId="3" fontId="26" fillId="0" borderId="28" xfId="0" applyNumberFormat="1" applyFont="1" applyFill="1" applyBorder="1" applyAlignment="1" applyProtection="1">
      <alignment horizontal="left"/>
    </xf>
    <xf numFmtId="1" fontId="26" fillId="10" borderId="28" xfId="0" applyNumberFormat="1" applyFont="1" applyFill="1" applyBorder="1" applyAlignment="1" applyProtection="1">
      <alignment horizontal="center"/>
    </xf>
    <xf numFmtId="3" fontId="26" fillId="10" borderId="28" xfId="0" applyNumberFormat="1" applyFont="1" applyFill="1" applyBorder="1" applyAlignment="1" applyProtection="1">
      <alignment horizontal="center"/>
    </xf>
    <xf numFmtId="4" fontId="26" fillId="7" borderId="28" xfId="0" applyNumberFormat="1" applyFont="1" applyFill="1" applyBorder="1" applyAlignment="1" applyProtection="1">
      <alignment horizontal="center"/>
      <protection hidden="1"/>
    </xf>
    <xf numFmtId="3" fontId="26" fillId="10" borderId="28" xfId="0" applyNumberFormat="1" applyFont="1" applyFill="1" applyBorder="1" applyAlignment="1" applyProtection="1">
      <alignment horizontal="center"/>
      <protection hidden="1"/>
    </xf>
    <xf numFmtId="0" fontId="26" fillId="0" borderId="28" xfId="0" applyFont="1" applyFill="1" applyBorder="1" applyAlignment="1" applyProtection="1">
      <alignment horizontal="center"/>
    </xf>
    <xf numFmtId="3" fontId="26" fillId="0" borderId="28" xfId="0" applyNumberFormat="1" applyFont="1" applyFill="1" applyBorder="1" applyAlignment="1" applyProtection="1">
      <alignment horizontal="center"/>
    </xf>
    <xf numFmtId="0" fontId="26" fillId="2" borderId="25" xfId="0" applyFont="1" applyFill="1" applyBorder="1" applyAlignment="1" applyProtection="1">
      <alignment vertical="center"/>
    </xf>
    <xf numFmtId="0" fontId="26" fillId="0" borderId="28" xfId="0" applyNumberFormat="1" applyFont="1" applyFill="1" applyBorder="1" applyAlignment="1" applyProtection="1">
      <alignment horizontal="left"/>
    </xf>
    <xf numFmtId="0" fontId="26" fillId="0" borderId="28" xfId="0" applyNumberFormat="1" applyFont="1" applyFill="1" applyBorder="1" applyAlignment="1" applyProtection="1">
      <alignment horizontal="center"/>
    </xf>
    <xf numFmtId="0" fontId="26" fillId="0" borderId="28" xfId="0" applyFont="1" applyFill="1" applyBorder="1" applyProtection="1"/>
    <xf numFmtId="0" fontId="26" fillId="10" borderId="28" xfId="0" applyFont="1" applyFill="1" applyBorder="1" applyAlignment="1" applyProtection="1">
      <alignment horizontal="center"/>
    </xf>
    <xf numFmtId="0" fontId="26" fillId="10" borderId="28" xfId="0" applyFont="1" applyFill="1" applyBorder="1" applyProtection="1"/>
    <xf numFmtId="4" fontId="26" fillId="0" borderId="28" xfId="0" applyNumberFormat="1" applyFont="1" applyFill="1" applyBorder="1" applyAlignment="1" applyProtection="1">
      <alignment horizontal="center"/>
      <protection hidden="1"/>
    </xf>
    <xf numFmtId="4" fontId="26" fillId="6" borderId="27" xfId="0" applyNumberFormat="1" applyFont="1" applyFill="1" applyBorder="1" applyAlignment="1" applyProtection="1">
      <alignment horizontal="center"/>
    </xf>
    <xf numFmtId="4" fontId="26" fillId="6" borderId="25" xfId="0" applyNumberFormat="1" applyFont="1" applyFill="1" applyBorder="1" applyAlignment="1" applyProtection="1">
      <alignment horizontal="center"/>
    </xf>
    <xf numFmtId="4" fontId="26" fillId="6" borderId="58" xfId="0" applyNumberFormat="1" applyFont="1" applyFill="1" applyBorder="1" applyAlignment="1" applyProtection="1">
      <alignment horizontal="center"/>
    </xf>
    <xf numFmtId="165" fontId="26" fillId="7" borderId="27" xfId="0" applyNumberFormat="1" applyFont="1" applyFill="1" applyBorder="1" applyAlignment="1" applyProtection="1">
      <alignment horizontal="center"/>
    </xf>
    <xf numFmtId="9" fontId="26" fillId="3" borderId="0" xfId="0" applyNumberFormat="1" applyFont="1" applyFill="1" applyAlignment="1" applyProtection="1">
      <alignment horizontal="center"/>
    </xf>
    <xf numFmtId="168" fontId="26" fillId="7" borderId="27" xfId="0" applyNumberFormat="1" applyFont="1" applyFill="1" applyBorder="1" applyAlignment="1" applyProtection="1">
      <alignment horizontal="center"/>
    </xf>
    <xf numFmtId="165" fontId="26" fillId="7" borderId="25" xfId="0" applyNumberFormat="1" applyFont="1" applyFill="1" applyBorder="1" applyAlignment="1" applyProtection="1">
      <alignment horizontal="center"/>
    </xf>
    <xf numFmtId="168" fontId="26" fillId="7" borderId="25" xfId="0" applyNumberFormat="1" applyFont="1" applyFill="1" applyBorder="1" applyAlignment="1" applyProtection="1">
      <alignment horizontal="center"/>
    </xf>
    <xf numFmtId="0" fontId="26" fillId="14" borderId="12" xfId="0" applyFont="1" applyFill="1" applyBorder="1" applyAlignment="1" applyProtection="1">
      <alignment horizontal="center"/>
    </xf>
    <xf numFmtId="0" fontId="26" fillId="14" borderId="26" xfId="0" applyFont="1" applyFill="1" applyBorder="1" applyAlignment="1" applyProtection="1">
      <alignment horizontal="left"/>
    </xf>
    <xf numFmtId="0" fontId="26" fillId="14" borderId="26" xfId="0" applyFont="1" applyFill="1" applyBorder="1" applyAlignment="1" applyProtection="1">
      <alignment horizontal="center"/>
    </xf>
    <xf numFmtId="0" fontId="26" fillId="14" borderId="5" xfId="0" applyFont="1" applyFill="1" applyBorder="1" applyAlignment="1" applyProtection="1">
      <alignment horizontal="center"/>
    </xf>
    <xf numFmtId="0" fontId="26" fillId="14" borderId="33" xfId="0" applyFont="1" applyFill="1" applyBorder="1" applyAlignment="1" applyProtection="1">
      <alignment horizontal="center"/>
    </xf>
    <xf numFmtId="0" fontId="26" fillId="14" borderId="52" xfId="0" applyFont="1" applyFill="1" applyBorder="1" applyAlignment="1" applyProtection="1">
      <alignment horizontal="left"/>
    </xf>
    <xf numFmtId="0" fontId="26" fillId="14" borderId="53" xfId="0" applyFont="1" applyFill="1" applyBorder="1" applyAlignment="1" applyProtection="1">
      <alignment horizontal="center"/>
    </xf>
    <xf numFmtId="0" fontId="26" fillId="14" borderId="30" xfId="0" applyFont="1" applyFill="1" applyBorder="1" applyAlignment="1" applyProtection="1">
      <alignment horizontal="center"/>
    </xf>
    <xf numFmtId="167" fontId="26" fillId="14" borderId="12" xfId="0" applyNumberFormat="1" applyFont="1" applyFill="1" applyBorder="1" applyAlignment="1" applyProtection="1">
      <alignment horizontal="center"/>
    </xf>
    <xf numFmtId="167" fontId="26" fillId="3" borderId="7" xfId="0" applyNumberFormat="1" applyFont="1" applyFill="1" applyBorder="1" applyAlignment="1" applyProtection="1">
      <alignment horizontal="center"/>
    </xf>
    <xf numFmtId="0" fontId="26" fillId="14" borderId="48" xfId="0" applyFont="1" applyFill="1" applyBorder="1" applyAlignment="1" applyProtection="1">
      <alignment horizontal="left"/>
    </xf>
    <xf numFmtId="0" fontId="26" fillId="14" borderId="49" xfId="0" applyFont="1" applyFill="1" applyBorder="1" applyAlignment="1" applyProtection="1">
      <alignment horizontal="left"/>
    </xf>
    <xf numFmtId="0" fontId="26" fillId="14" borderId="49" xfId="0" applyFont="1" applyFill="1" applyBorder="1" applyAlignment="1" applyProtection="1">
      <alignment horizontal="center"/>
    </xf>
    <xf numFmtId="0" fontId="26" fillId="14" borderId="50" xfId="0" applyFont="1" applyFill="1" applyBorder="1" applyAlignment="1" applyProtection="1">
      <alignment horizontal="center"/>
    </xf>
    <xf numFmtId="0" fontId="26" fillId="14" borderId="51" xfId="0" applyFont="1" applyFill="1" applyBorder="1" applyAlignment="1" applyProtection="1">
      <alignment horizontal="center"/>
    </xf>
    <xf numFmtId="0" fontId="26" fillId="14" borderId="49" xfId="0" applyFont="1" applyFill="1" applyBorder="1" applyAlignment="1" applyProtection="1"/>
    <xf numFmtId="0" fontId="26" fillId="14" borderId="54" xfId="0" applyFont="1" applyFill="1" applyBorder="1" applyAlignment="1" applyProtection="1">
      <alignment horizontal="left"/>
    </xf>
    <xf numFmtId="0" fontId="26" fillId="14" borderId="55" xfId="0" applyFont="1" applyFill="1" applyBorder="1" applyAlignment="1" applyProtection="1">
      <alignment horizontal="center"/>
    </xf>
    <xf numFmtId="0" fontId="26" fillId="14" borderId="56" xfId="0" applyFont="1" applyFill="1" applyBorder="1" applyAlignment="1" applyProtection="1">
      <alignment horizontal="center"/>
    </xf>
    <xf numFmtId="0" fontId="26" fillId="14" borderId="48" xfId="0" applyFont="1" applyFill="1" applyBorder="1" applyAlignment="1" applyProtection="1">
      <alignment horizontal="center"/>
    </xf>
    <xf numFmtId="0" fontId="26" fillId="14" borderId="57" xfId="0" applyFont="1" applyFill="1" applyBorder="1" applyAlignment="1" applyProtection="1">
      <alignment horizontal="center"/>
    </xf>
    <xf numFmtId="0" fontId="26" fillId="14" borderId="47" xfId="0" applyFont="1" applyFill="1" applyBorder="1" applyAlignment="1" applyProtection="1">
      <alignment horizontal="center"/>
    </xf>
    <xf numFmtId="169" fontId="26" fillId="14" borderId="49" xfId="0" applyNumberFormat="1" applyFont="1" applyFill="1" applyBorder="1" applyAlignment="1" applyProtection="1">
      <alignment horizontal="center"/>
    </xf>
    <xf numFmtId="167" fontId="26" fillId="14" borderId="51" xfId="0" applyNumberFormat="1" applyFont="1" applyFill="1" applyBorder="1" applyAlignment="1" applyProtection="1">
      <alignment horizontal="center"/>
    </xf>
    <xf numFmtId="167" fontId="26" fillId="3" borderId="12" xfId="0" applyNumberFormat="1" applyFont="1" applyFill="1" applyBorder="1" applyAlignment="1" applyProtection="1">
      <alignment horizontal="center"/>
    </xf>
    <xf numFmtId="0" fontId="11" fillId="18" borderId="60" xfId="0" applyFont="1" applyFill="1" applyBorder="1" applyProtection="1"/>
    <xf numFmtId="0" fontId="11" fillId="18" borderId="59" xfId="0" applyFont="1" applyFill="1" applyBorder="1" applyProtection="1"/>
    <xf numFmtId="0" fontId="3" fillId="17" borderId="1" xfId="0" applyFont="1" applyFill="1" applyBorder="1" applyAlignment="1" applyProtection="1">
      <alignment horizontal="left"/>
    </xf>
    <xf numFmtId="0" fontId="4" fillId="17" borderId="10" xfId="0" applyFont="1" applyFill="1" applyBorder="1" applyAlignment="1" applyProtection="1">
      <alignment horizontal="left"/>
    </xf>
    <xf numFmtId="3" fontId="4" fillId="17" borderId="22" xfId="0" applyNumberFormat="1" applyFont="1" applyFill="1" applyBorder="1" applyAlignment="1" applyProtection="1">
      <alignment horizontal="center"/>
    </xf>
    <xf numFmtId="0" fontId="8" fillId="17" borderId="2" xfId="0" applyFont="1" applyFill="1" applyBorder="1" applyAlignment="1" applyProtection="1">
      <alignment horizontal="center"/>
    </xf>
    <xf numFmtId="0" fontId="8" fillId="17" borderId="2" xfId="0" applyFont="1" applyFill="1" applyBorder="1" applyAlignment="1" applyProtection="1">
      <alignment horizontal="left"/>
    </xf>
    <xf numFmtId="0" fontId="7" fillId="17" borderId="1" xfId="0" applyFont="1" applyFill="1" applyBorder="1" applyAlignment="1" applyProtection="1">
      <alignment horizontal="left"/>
    </xf>
    <xf numFmtId="0" fontId="7" fillId="17" borderId="2" xfId="0" applyFont="1" applyFill="1" applyBorder="1" applyProtection="1"/>
    <xf numFmtId="0" fontId="7" fillId="17" borderId="2" xfId="0" applyFont="1" applyFill="1" applyBorder="1" applyAlignment="1" applyProtection="1"/>
    <xf numFmtId="0" fontId="3" fillId="13" borderId="43" xfId="0" applyFont="1" applyFill="1" applyBorder="1" applyAlignment="1" applyProtection="1">
      <alignment vertical="center" textRotation="90"/>
    </xf>
    <xf numFmtId="0" fontId="2" fillId="3" borderId="38" xfId="0" applyFont="1" applyFill="1" applyBorder="1" applyProtection="1">
      <protection locked="0"/>
    </xf>
    <xf numFmtId="1" fontId="26" fillId="10" borderId="28" xfId="0" applyNumberFormat="1" applyFont="1" applyFill="1" applyBorder="1" applyAlignment="1" applyProtection="1">
      <alignment horizontal="left"/>
    </xf>
    <xf numFmtId="0" fontId="11" fillId="3" borderId="0" xfId="0" applyFont="1" applyFill="1" applyAlignment="1" applyProtection="1">
      <alignment horizontal="left"/>
    </xf>
    <xf numFmtId="0" fontId="27" fillId="14" borderId="49" xfId="0" applyFont="1" applyFill="1" applyBorder="1" applyAlignment="1" applyProtection="1">
      <alignment horizontal="center"/>
    </xf>
    <xf numFmtId="0" fontId="2" fillId="3" borderId="38" xfId="0" applyFont="1" applyFill="1" applyBorder="1" applyProtection="1"/>
    <xf numFmtId="0" fontId="8" fillId="17" borderId="60" xfId="0" applyFont="1" applyFill="1" applyBorder="1" applyAlignment="1" applyProtection="1">
      <alignment horizontal="center"/>
    </xf>
    <xf numFmtId="0" fontId="8" fillId="17" borderId="59" xfId="0" applyFont="1" applyFill="1" applyBorder="1" applyAlignment="1" applyProtection="1">
      <alignment horizontal="center"/>
    </xf>
    <xf numFmtId="0" fontId="9" fillId="3" borderId="0" xfId="0" applyFont="1" applyFill="1"/>
    <xf numFmtId="0" fontId="30" fillId="3" borderId="0" xfId="0" applyFont="1" applyFill="1"/>
    <xf numFmtId="0" fontId="3" fillId="13" borderId="42" xfId="0" applyFont="1" applyFill="1" applyBorder="1" applyAlignment="1" applyProtection="1">
      <alignment vertical="center" textRotation="90"/>
    </xf>
    <xf numFmtId="0" fontId="32" fillId="3" borderId="62" xfId="0" applyFont="1" applyFill="1" applyBorder="1"/>
    <xf numFmtId="0" fontId="30" fillId="3" borderId="43" xfId="0" applyFont="1" applyFill="1" applyBorder="1" applyProtection="1"/>
    <xf numFmtId="0" fontId="30" fillId="3" borderId="43" xfId="0" applyFont="1" applyFill="1" applyBorder="1"/>
    <xf numFmtId="0" fontId="2" fillId="3" borderId="43" xfId="0" applyFont="1" applyFill="1" applyBorder="1"/>
    <xf numFmtId="0" fontId="32" fillId="3" borderId="43" xfId="0" applyFont="1" applyFill="1" applyBorder="1"/>
    <xf numFmtId="0" fontId="30" fillId="3" borderId="42" xfId="0" applyFont="1" applyFill="1" applyBorder="1"/>
    <xf numFmtId="0" fontId="3" fillId="13" borderId="62" xfId="0" applyFont="1" applyFill="1" applyBorder="1" applyAlignment="1" applyProtection="1">
      <alignment vertical="center" textRotation="90"/>
    </xf>
    <xf numFmtId="0" fontId="9" fillId="3" borderId="40" xfId="0" applyFont="1" applyFill="1" applyBorder="1" applyAlignment="1" applyProtection="1">
      <alignment horizontal="left"/>
    </xf>
    <xf numFmtId="0" fontId="3" fillId="13" borderId="0" xfId="0" applyFont="1" applyFill="1" applyBorder="1" applyAlignment="1" applyProtection="1">
      <alignment horizontal="left"/>
    </xf>
    <xf numFmtId="0" fontId="4" fillId="13" borderId="40" xfId="0" applyFont="1" applyFill="1" applyBorder="1" applyProtection="1"/>
    <xf numFmtId="0" fontId="3" fillId="13" borderId="0" xfId="0" applyFont="1" applyFill="1" applyBorder="1" applyProtection="1"/>
    <xf numFmtId="0" fontId="26" fillId="0" borderId="31" xfId="0" quotePrefix="1" applyFont="1" applyFill="1" applyBorder="1" applyAlignment="1" applyProtection="1">
      <alignment horizontal="center"/>
    </xf>
    <xf numFmtId="0" fontId="24" fillId="2" borderId="0" xfId="0" applyFont="1" applyFill="1" applyBorder="1" applyAlignment="1" applyProtection="1">
      <alignment horizontal="left"/>
      <protection locked="0"/>
    </xf>
    <xf numFmtId="0" fontId="24" fillId="3" borderId="0" xfId="0" applyFont="1" applyFill="1" applyProtection="1">
      <protection locked="0"/>
    </xf>
    <xf numFmtId="3" fontId="24" fillId="3" borderId="0" xfId="0" applyNumberFormat="1" applyFont="1" applyFill="1" applyBorder="1" applyAlignment="1" applyProtection="1">
      <alignment horizontal="left"/>
      <protection locked="0"/>
    </xf>
    <xf numFmtId="0" fontId="25" fillId="3" borderId="0" xfId="0" applyFont="1" applyFill="1" applyProtection="1">
      <protection locked="0"/>
    </xf>
    <xf numFmtId="0" fontId="33" fillId="3" borderId="0" xfId="0" applyFont="1" applyFill="1" applyProtection="1">
      <protection locked="0"/>
    </xf>
    <xf numFmtId="0" fontId="24" fillId="3" borderId="0" xfId="0" applyFont="1" applyFill="1" applyAlignment="1" applyProtection="1">
      <alignment horizontal="left"/>
      <protection locked="0"/>
    </xf>
    <xf numFmtId="0" fontId="9" fillId="18" borderId="0" xfId="0" applyFont="1" applyFill="1" applyProtection="1"/>
    <xf numFmtId="3" fontId="9" fillId="18" borderId="0" xfId="0" applyNumberFormat="1" applyFont="1" applyFill="1" applyAlignment="1" applyProtection="1">
      <alignment horizontal="center"/>
    </xf>
    <xf numFmtId="10" fontId="9" fillId="18" borderId="0" xfId="0" applyNumberFormat="1" applyFont="1" applyFill="1" applyAlignment="1" applyProtection="1">
      <alignment horizontal="center"/>
    </xf>
    <xf numFmtId="3" fontId="9" fillId="18" borderId="0" xfId="0" applyNumberFormat="1" applyFont="1" applyFill="1" applyProtection="1"/>
    <xf numFmtId="0" fontId="10" fillId="18" borderId="5" xfId="0" applyFont="1" applyFill="1" applyBorder="1" applyAlignment="1" applyProtection="1">
      <alignment horizontal="left"/>
    </xf>
    <xf numFmtId="0" fontId="10" fillId="18" borderId="5" xfId="0" applyFont="1" applyFill="1" applyBorder="1" applyAlignment="1" applyProtection="1">
      <alignment horizontal="center"/>
    </xf>
    <xf numFmtId="0" fontId="10" fillId="18" borderId="6" xfId="0" applyFont="1" applyFill="1" applyBorder="1" applyAlignment="1" applyProtection="1">
      <alignment horizontal="left"/>
    </xf>
    <xf numFmtId="0" fontId="10" fillId="18" borderId="6" xfId="0" applyFont="1" applyFill="1" applyBorder="1" applyAlignment="1" applyProtection="1">
      <alignment horizontal="center"/>
    </xf>
    <xf numFmtId="0" fontId="10" fillId="18" borderId="4" xfId="0" applyFont="1" applyFill="1" applyBorder="1" applyAlignment="1" applyProtection="1">
      <alignment horizontal="center"/>
    </xf>
    <xf numFmtId="0" fontId="10" fillId="18" borderId="3" xfId="0" applyFont="1" applyFill="1" applyBorder="1" applyAlignment="1" applyProtection="1">
      <alignment horizontal="center"/>
    </xf>
    <xf numFmtId="166" fontId="9" fillId="3" borderId="0" xfId="0" applyNumberFormat="1" applyFont="1" applyFill="1" applyAlignment="1" applyProtection="1">
      <alignment horizontal="center"/>
    </xf>
    <xf numFmtId="0" fontId="9" fillId="3" borderId="0" xfId="0" applyFont="1" applyFill="1" applyAlignment="1" applyProtection="1"/>
    <xf numFmtId="3" fontId="9" fillId="3" borderId="0" xfId="0" applyNumberFormat="1" applyFont="1" applyFill="1" applyAlignment="1" applyProtection="1"/>
    <xf numFmtId="0" fontId="9" fillId="18" borderId="1" xfId="0" applyFont="1" applyFill="1" applyBorder="1" applyAlignment="1" applyProtection="1">
      <alignment horizontal="left"/>
    </xf>
    <xf numFmtId="0" fontId="10" fillId="18" borderId="7" xfId="0" applyFont="1" applyFill="1" applyBorder="1" applyAlignment="1" applyProtection="1">
      <alignment horizontal="left"/>
    </xf>
    <xf numFmtId="0" fontId="10" fillId="18" borderId="14" xfId="0" applyFont="1" applyFill="1" applyBorder="1" applyAlignment="1" applyProtection="1">
      <alignment horizontal="center"/>
    </xf>
    <xf numFmtId="0" fontId="13" fillId="18" borderId="0" xfId="0" applyFont="1" applyFill="1" applyBorder="1" applyProtection="1"/>
    <xf numFmtId="0" fontId="10" fillId="18" borderId="0" xfId="0" applyFont="1" applyFill="1" applyBorder="1" applyProtection="1"/>
    <xf numFmtId="0" fontId="10" fillId="18" borderId="12" xfId="0" applyFont="1" applyFill="1" applyBorder="1" applyAlignment="1" applyProtection="1">
      <alignment horizontal="left"/>
    </xf>
    <xf numFmtId="0" fontId="10" fillId="18" borderId="12" xfId="0" applyFont="1" applyFill="1" applyBorder="1" applyAlignment="1" applyProtection="1">
      <alignment horizontal="center"/>
    </xf>
    <xf numFmtId="0" fontId="10" fillId="18" borderId="13" xfId="0" applyFont="1" applyFill="1" applyBorder="1" applyAlignment="1" applyProtection="1">
      <alignment horizontal="center"/>
    </xf>
    <xf numFmtId="0" fontId="10" fillId="18" borderId="15" xfId="0" applyFont="1" applyFill="1" applyBorder="1" applyAlignment="1" applyProtection="1">
      <alignment horizontal="center"/>
    </xf>
    <xf numFmtId="0" fontId="10" fillId="18" borderId="7" xfId="0" applyFont="1" applyFill="1" applyBorder="1" applyAlignment="1" applyProtection="1">
      <alignment horizontal="center"/>
    </xf>
    <xf numFmtId="0" fontId="9" fillId="18" borderId="0" xfId="0" applyFont="1" applyFill="1" applyBorder="1" applyAlignment="1" applyProtection="1">
      <alignment horizontal="center"/>
    </xf>
    <xf numFmtId="0" fontId="9" fillId="18" borderId="12" xfId="0" applyFont="1" applyFill="1" applyBorder="1" applyAlignment="1" applyProtection="1">
      <alignment horizontal="center"/>
    </xf>
    <xf numFmtId="167" fontId="5" fillId="18" borderId="12" xfId="0" applyNumberFormat="1" applyFont="1" applyFill="1" applyBorder="1" applyAlignment="1" applyProtection="1">
      <alignment horizontal="center"/>
    </xf>
    <xf numFmtId="167" fontId="5" fillId="18" borderId="11" xfId="0" applyNumberFormat="1" applyFont="1" applyFill="1" applyBorder="1" applyAlignment="1" applyProtection="1">
      <alignment horizontal="center"/>
    </xf>
    <xf numFmtId="0" fontId="10" fillId="18" borderId="0" xfId="0" applyFont="1" applyFill="1" applyBorder="1" applyAlignment="1" applyProtection="1">
      <alignment horizontal="center"/>
    </xf>
    <xf numFmtId="0" fontId="9" fillId="18" borderId="13" xfId="0" applyFont="1" applyFill="1" applyBorder="1" applyAlignment="1" applyProtection="1">
      <alignment horizontal="center"/>
    </xf>
    <xf numFmtId="167" fontId="5" fillId="18" borderId="6" xfId="0" applyNumberFormat="1" applyFont="1" applyFill="1" applyBorder="1" applyAlignment="1" applyProtection="1">
      <alignment horizontal="center"/>
    </xf>
    <xf numFmtId="169" fontId="5" fillId="18" borderId="6" xfId="0" applyNumberFormat="1" applyFont="1" applyFill="1" applyBorder="1" applyAlignment="1" applyProtection="1">
      <alignment horizontal="center"/>
    </xf>
    <xf numFmtId="167" fontId="5" fillId="18" borderId="5" xfId="0" applyNumberFormat="1" applyFont="1" applyFill="1" applyBorder="1" applyAlignment="1" applyProtection="1">
      <alignment horizontal="center"/>
    </xf>
    <xf numFmtId="169" fontId="5" fillId="18" borderId="12" xfId="0" applyNumberFormat="1" applyFont="1" applyFill="1" applyBorder="1" applyAlignment="1" applyProtection="1">
      <alignment horizontal="center"/>
    </xf>
    <xf numFmtId="3" fontId="9" fillId="3" borderId="40" xfId="0" applyNumberFormat="1" applyFont="1" applyFill="1" applyBorder="1" applyAlignment="1" applyProtection="1">
      <alignment horizontal="center"/>
    </xf>
    <xf numFmtId="0" fontId="9" fillId="18" borderId="69" xfId="0" applyFont="1" applyFill="1" applyBorder="1" applyAlignment="1" applyProtection="1">
      <alignment horizontal="left"/>
    </xf>
    <xf numFmtId="0" fontId="9" fillId="3" borderId="40" xfId="0" applyFont="1" applyFill="1" applyBorder="1" applyAlignment="1" applyProtection="1">
      <alignment horizontal="center"/>
    </xf>
    <xf numFmtId="1" fontId="9" fillId="3" borderId="40" xfId="0" applyNumberFormat="1" applyFont="1" applyFill="1" applyBorder="1" applyAlignment="1" applyProtection="1">
      <alignment horizontal="center"/>
    </xf>
    <xf numFmtId="3" fontId="9" fillId="3" borderId="40" xfId="0" applyNumberFormat="1" applyFont="1" applyFill="1" applyBorder="1" applyAlignment="1" applyProtection="1"/>
    <xf numFmtId="0" fontId="3" fillId="17" borderId="0" xfId="0" applyFont="1" applyFill="1" applyBorder="1" applyAlignment="1" applyProtection="1">
      <alignment horizontal="center"/>
    </xf>
    <xf numFmtId="167" fontId="5" fillId="18" borderId="6" xfId="0" applyNumberFormat="1" applyFont="1" applyFill="1" applyBorder="1" applyAlignment="1" applyProtection="1">
      <alignment horizontal="left"/>
    </xf>
    <xf numFmtId="9" fontId="2" fillId="3" borderId="0" xfId="0" applyNumberFormat="1" applyFont="1" applyFill="1" applyAlignment="1" applyProtection="1">
      <alignment horizontal="left"/>
    </xf>
    <xf numFmtId="172" fontId="24" fillId="19" borderId="61" xfId="0" applyNumberFormat="1" applyFont="1" applyFill="1" applyBorder="1" applyAlignment="1" applyProtection="1">
      <alignment horizontal="left"/>
      <protection locked="0"/>
    </xf>
    <xf numFmtId="0" fontId="24" fillId="19" borderId="66" xfId="0" applyFont="1" applyFill="1" applyBorder="1" applyProtection="1">
      <protection locked="0"/>
    </xf>
    <xf numFmtId="3" fontId="24" fillId="19" borderId="61" xfId="0" applyNumberFormat="1" applyFont="1" applyFill="1" applyBorder="1" applyAlignment="1" applyProtection="1">
      <alignment horizontal="left"/>
      <protection locked="0"/>
    </xf>
    <xf numFmtId="0" fontId="24" fillId="19" borderId="61" xfId="0" applyFont="1" applyFill="1" applyBorder="1" applyProtection="1">
      <protection locked="0"/>
    </xf>
    <xf numFmtId="2" fontId="24" fillId="19" borderId="61" xfId="0" applyNumberFormat="1" applyFont="1" applyFill="1" applyBorder="1" applyAlignment="1" applyProtection="1">
      <alignment horizontal="left"/>
      <protection locked="0"/>
    </xf>
    <xf numFmtId="9" fontId="24" fillId="19" borderId="61" xfId="0" applyNumberFormat="1" applyFont="1" applyFill="1" applyBorder="1" applyAlignment="1" applyProtection="1">
      <alignment horizontal="left"/>
      <protection locked="0"/>
    </xf>
    <xf numFmtId="4" fontId="9" fillId="18" borderId="0" xfId="0" applyNumberFormat="1" applyFont="1" applyFill="1" applyAlignment="1" applyProtection="1">
      <alignment horizontal="center"/>
    </xf>
    <xf numFmtId="0" fontId="26" fillId="14" borderId="15" xfId="0" applyFont="1" applyFill="1" applyBorder="1" applyAlignment="1" applyProtection="1"/>
    <xf numFmtId="0" fontId="26" fillId="14" borderId="7" xfId="0" applyFont="1" applyFill="1" applyBorder="1" applyAlignment="1" applyProtection="1"/>
    <xf numFmtId="0" fontId="26" fillId="14" borderId="6" xfId="0" applyFont="1" applyFill="1" applyBorder="1" applyAlignment="1" applyProtection="1">
      <alignment horizontal="center"/>
    </xf>
    <xf numFmtId="168" fontId="26" fillId="3" borderId="0" xfId="0" applyNumberFormat="1" applyFont="1" applyFill="1" applyAlignment="1" applyProtection="1">
      <alignment horizontal="center"/>
    </xf>
    <xf numFmtId="0" fontId="26" fillId="14" borderId="6" xfId="0" quotePrefix="1" applyFont="1" applyFill="1" applyBorder="1" applyAlignment="1" applyProtection="1">
      <alignment horizontal="center"/>
    </xf>
    <xf numFmtId="0" fontId="19" fillId="3" borderId="0" xfId="0" applyFont="1" applyFill="1" applyBorder="1" applyProtection="1"/>
    <xf numFmtId="0" fontId="12" fillId="3" borderId="0" xfId="0" applyFont="1" applyFill="1" applyBorder="1" applyAlignment="1" applyProtection="1"/>
    <xf numFmtId="0" fontId="4" fillId="3" borderId="13" xfId="0" applyFont="1" applyFill="1" applyBorder="1" applyAlignment="1" applyProtection="1">
      <alignment horizontal="center"/>
    </xf>
    <xf numFmtId="9" fontId="4" fillId="3" borderId="0" xfId="0" applyNumberFormat="1" applyFont="1" applyFill="1" applyAlignment="1" applyProtection="1">
      <alignment horizontal="center"/>
    </xf>
    <xf numFmtId="9" fontId="4" fillId="3" borderId="0" xfId="1" applyFont="1" applyFill="1" applyAlignment="1" applyProtection="1">
      <alignment horizontal="center"/>
    </xf>
    <xf numFmtId="170" fontId="4" fillId="3" borderId="0" xfId="1" applyNumberFormat="1" applyFont="1" applyFill="1" applyAlignment="1" applyProtection="1">
      <alignment horizontal="center"/>
    </xf>
    <xf numFmtId="0" fontId="11" fillId="18" borderId="34" xfId="0" applyFont="1" applyFill="1" applyBorder="1" applyProtection="1"/>
    <xf numFmtId="0" fontId="11" fillId="18" borderId="35" xfId="0" applyFont="1" applyFill="1" applyBorder="1" applyProtection="1"/>
    <xf numFmtId="0" fontId="11" fillId="18" borderId="35" xfId="0" applyFont="1" applyFill="1" applyBorder="1" applyAlignment="1" applyProtection="1">
      <alignment horizontal="center"/>
    </xf>
    <xf numFmtId="0" fontId="11" fillId="18" borderId="36" xfId="0" applyFont="1" applyFill="1" applyBorder="1" applyProtection="1"/>
    <xf numFmtId="0" fontId="7" fillId="17" borderId="1" xfId="0" applyFont="1" applyFill="1" applyBorder="1" applyAlignment="1" applyProtection="1"/>
    <xf numFmtId="0" fontId="2" fillId="3" borderId="0" xfId="0" applyNumberFormat="1" applyFont="1" applyFill="1" applyAlignment="1" applyProtection="1">
      <alignment horizontal="left"/>
    </xf>
    <xf numFmtId="0" fontId="9" fillId="0" borderId="28" xfId="0" applyFont="1" applyFill="1" applyBorder="1" applyAlignment="1" applyProtection="1">
      <alignment horizontal="left"/>
    </xf>
    <xf numFmtId="0" fontId="9" fillId="0" borderId="31" xfId="0" applyFont="1" applyFill="1" applyBorder="1" applyAlignment="1" applyProtection="1">
      <alignment horizontal="left"/>
    </xf>
    <xf numFmtId="3" fontId="9" fillId="0" borderId="28" xfId="0" applyNumberFormat="1" applyFont="1" applyFill="1" applyBorder="1" applyAlignment="1" applyProtection="1">
      <alignment horizontal="left"/>
    </xf>
    <xf numFmtId="0" fontId="2" fillId="0" borderId="28" xfId="0" applyFont="1" applyFill="1" applyBorder="1" applyProtection="1"/>
    <xf numFmtId="0" fontId="10" fillId="0" borderId="28" xfId="0" applyFont="1" applyFill="1" applyBorder="1" applyAlignment="1" applyProtection="1">
      <alignment horizontal="left"/>
    </xf>
    <xf numFmtId="0" fontId="9" fillId="0" borderId="31" xfId="0" applyFont="1" applyFill="1" applyBorder="1" applyAlignment="1" applyProtection="1">
      <alignment horizontal="center"/>
    </xf>
    <xf numFmtId="3" fontId="9" fillId="0" borderId="31" xfId="0" applyNumberFormat="1" applyFont="1" applyFill="1" applyBorder="1" applyAlignment="1" applyProtection="1">
      <alignment horizontal="center"/>
    </xf>
    <xf numFmtId="4" fontId="9" fillId="0" borderId="31" xfId="0" applyNumberFormat="1" applyFont="1" applyFill="1" applyBorder="1" applyAlignment="1" applyProtection="1">
      <alignment horizontal="center"/>
      <protection hidden="1"/>
    </xf>
    <xf numFmtId="0" fontId="9" fillId="0" borderId="28" xfId="0" applyFont="1" applyFill="1" applyBorder="1" applyAlignment="1" applyProtection="1">
      <alignment horizontal="center"/>
    </xf>
    <xf numFmtId="3" fontId="9" fillId="0" borderId="28" xfId="0" applyNumberFormat="1" applyFont="1" applyFill="1" applyBorder="1" applyAlignment="1" applyProtection="1">
      <alignment horizontal="center"/>
    </xf>
    <xf numFmtId="4" fontId="9" fillId="0" borderId="28" xfId="0" applyNumberFormat="1" applyFont="1" applyFill="1" applyBorder="1" applyAlignment="1" applyProtection="1">
      <alignment horizontal="center"/>
      <protection hidden="1"/>
    </xf>
    <xf numFmtId="3" fontId="10" fillId="0" borderId="28" xfId="0" applyNumberFormat="1" applyFont="1" applyFill="1" applyBorder="1" applyAlignment="1" applyProtection="1">
      <alignment horizontal="center"/>
    </xf>
    <xf numFmtId="3" fontId="9" fillId="10" borderId="31" xfId="0" applyNumberFormat="1" applyFont="1" applyFill="1" applyBorder="1" applyAlignment="1" applyProtection="1">
      <alignment horizontal="center"/>
      <protection hidden="1"/>
    </xf>
    <xf numFmtId="3" fontId="9" fillId="10" borderId="28" xfId="0" applyNumberFormat="1" applyFont="1" applyFill="1" applyBorder="1" applyAlignment="1" applyProtection="1">
      <alignment horizontal="center"/>
      <protection hidden="1"/>
    </xf>
    <xf numFmtId="3" fontId="9" fillId="10" borderId="32" xfId="0" applyNumberFormat="1" applyFont="1" applyFill="1" applyBorder="1" applyAlignment="1" applyProtection="1">
      <alignment horizontal="center"/>
    </xf>
    <xf numFmtId="3" fontId="9" fillId="10" borderId="29" xfId="0" applyNumberFormat="1" applyFont="1" applyFill="1" applyBorder="1" applyAlignment="1" applyProtection="1">
      <alignment horizontal="center"/>
    </xf>
    <xf numFmtId="0" fontId="9" fillId="2" borderId="27" xfId="0" applyFont="1" applyFill="1" applyBorder="1" applyProtection="1"/>
    <xf numFmtId="0" fontId="9" fillId="2" borderId="25" xfId="0" applyFont="1" applyFill="1" applyBorder="1" applyProtection="1"/>
    <xf numFmtId="0" fontId="5" fillId="18" borderId="40" xfId="0" applyFont="1" applyFill="1" applyBorder="1" applyAlignment="1" applyProtection="1">
      <alignment horizontal="center"/>
    </xf>
    <xf numFmtId="0" fontId="5" fillId="18" borderId="40" xfId="0" applyFont="1" applyFill="1" applyBorder="1" applyAlignment="1" applyProtection="1">
      <alignment horizontal="left"/>
    </xf>
    <xf numFmtId="3" fontId="9" fillId="3" borderId="40" xfId="0" applyNumberFormat="1" applyFont="1" applyFill="1" applyBorder="1" applyAlignment="1" applyProtection="1">
      <alignment horizontal="left"/>
    </xf>
    <xf numFmtId="170" fontId="11" fillId="3" borderId="0" xfId="0" applyNumberFormat="1" applyFont="1" applyFill="1" applyProtection="1"/>
    <xf numFmtId="0" fontId="2" fillId="17" borderId="71" xfId="0" applyFont="1" applyFill="1" applyBorder="1" applyProtection="1"/>
    <xf numFmtId="0" fontId="2" fillId="17" borderId="10" xfId="0" applyFont="1" applyFill="1" applyBorder="1" applyProtection="1"/>
    <xf numFmtId="0" fontId="2" fillId="17" borderId="72" xfId="0" applyFont="1" applyFill="1" applyBorder="1" applyProtection="1"/>
    <xf numFmtId="3" fontId="8" fillId="17" borderId="2" xfId="0" applyNumberFormat="1" applyFont="1" applyFill="1" applyBorder="1" applyAlignment="1" applyProtection="1">
      <alignment horizontal="center"/>
    </xf>
    <xf numFmtId="0" fontId="5" fillId="18" borderId="40" xfId="0" applyFont="1" applyFill="1" applyBorder="1" applyAlignment="1" applyProtection="1">
      <alignment horizontal="right"/>
    </xf>
    <xf numFmtId="167" fontId="29" fillId="18" borderId="6" xfId="0" applyNumberFormat="1" applyFont="1" applyFill="1" applyBorder="1" applyAlignment="1" applyProtection="1">
      <alignment horizontal="center"/>
    </xf>
    <xf numFmtId="3" fontId="6" fillId="10" borderId="0" xfId="0" applyNumberFormat="1" applyFont="1" applyFill="1" applyProtection="1"/>
    <xf numFmtId="2" fontId="6" fillId="10" borderId="0" xfId="0" applyNumberFormat="1" applyFont="1" applyFill="1" applyAlignment="1" applyProtection="1">
      <alignment horizontal="center"/>
    </xf>
    <xf numFmtId="3" fontId="15" fillId="3" borderId="0" xfId="0" applyNumberFormat="1" applyFont="1" applyFill="1" applyBorder="1" applyAlignment="1" applyProtection="1">
      <alignment horizontal="center"/>
    </xf>
    <xf numFmtId="2" fontId="15" fillId="3" borderId="0" xfId="0" applyNumberFormat="1" applyFont="1" applyFill="1" applyBorder="1" applyAlignment="1" applyProtection="1">
      <alignment horizontal="center"/>
    </xf>
    <xf numFmtId="3" fontId="15" fillId="3" borderId="0" xfId="0" applyNumberFormat="1" applyFont="1" applyFill="1" applyAlignment="1" applyProtection="1">
      <alignment horizontal="center"/>
    </xf>
    <xf numFmtId="3" fontId="6" fillId="10" borderId="0" xfId="0" applyNumberFormat="1" applyFont="1" applyFill="1" applyAlignment="1" applyProtection="1">
      <alignment horizontal="center"/>
    </xf>
    <xf numFmtId="0" fontId="4" fillId="17" borderId="2" xfId="0" applyFont="1" applyFill="1" applyBorder="1" applyAlignment="1" applyProtection="1">
      <alignment horizontal="center"/>
    </xf>
    <xf numFmtId="1" fontId="8" fillId="17" borderId="2" xfId="0" applyNumberFormat="1" applyFont="1" applyFill="1" applyBorder="1" applyAlignment="1" applyProtection="1">
      <alignment horizontal="center"/>
    </xf>
    <xf numFmtId="4" fontId="15" fillId="3" borderId="0" xfId="0" applyNumberFormat="1" applyFont="1" applyFill="1" applyBorder="1" applyAlignment="1" applyProtection="1">
      <alignment horizontal="center"/>
    </xf>
    <xf numFmtId="4" fontId="6" fillId="3" borderId="0" xfId="0" applyNumberFormat="1" applyFont="1" applyFill="1" applyBorder="1" applyAlignment="1" applyProtection="1">
      <alignment horizontal="center"/>
    </xf>
    <xf numFmtId="4" fontId="6" fillId="10" borderId="0" xfId="0" applyNumberFormat="1" applyFont="1" applyFill="1" applyBorder="1" applyAlignment="1" applyProtection="1">
      <alignment horizontal="center"/>
    </xf>
    <xf numFmtId="0" fontId="6" fillId="10" borderId="0" xfId="0" applyFont="1" applyFill="1" applyProtection="1"/>
    <xf numFmtId="0" fontId="9" fillId="2" borderId="58" xfId="0" applyFont="1" applyFill="1" applyBorder="1" applyProtection="1"/>
    <xf numFmtId="0" fontId="27" fillId="14" borderId="73" xfId="0" applyFont="1" applyFill="1" applyBorder="1" applyAlignment="1" applyProtection="1">
      <alignment horizontal="left"/>
    </xf>
    <xf numFmtId="0" fontId="14" fillId="14" borderId="73" xfId="0" applyFont="1" applyFill="1" applyBorder="1" applyAlignment="1" applyProtection="1">
      <alignment horizontal="center"/>
    </xf>
    <xf numFmtId="0" fontId="14" fillId="14" borderId="73" xfId="0" applyFont="1" applyFill="1" applyBorder="1" applyAlignment="1" applyProtection="1">
      <alignment horizontal="left"/>
    </xf>
    <xf numFmtId="3" fontId="14" fillId="14" borderId="73" xfId="0" applyNumberFormat="1" applyFont="1" applyFill="1" applyBorder="1" applyAlignment="1" applyProtection="1">
      <alignment horizontal="center"/>
    </xf>
    <xf numFmtId="0" fontId="26" fillId="14" borderId="75" xfId="0" applyFont="1" applyFill="1" applyBorder="1" applyAlignment="1" applyProtection="1">
      <alignment horizontal="center"/>
    </xf>
    <xf numFmtId="0" fontId="26" fillId="14" borderId="76" xfId="0" applyFont="1" applyFill="1" applyBorder="1" applyAlignment="1" applyProtection="1">
      <alignment horizontal="left"/>
    </xf>
    <xf numFmtId="166" fontId="26" fillId="14" borderId="77" xfId="0" applyNumberFormat="1" applyFont="1" applyFill="1" applyBorder="1" applyAlignment="1" applyProtection="1">
      <alignment horizontal="center"/>
    </xf>
    <xf numFmtId="0" fontId="28" fillId="13" borderId="0" xfId="0" applyFont="1" applyFill="1" applyBorder="1" applyAlignment="1" applyProtection="1">
      <alignment horizontal="left"/>
    </xf>
    <xf numFmtId="0" fontId="7" fillId="13" borderId="0" xfId="0" applyFont="1" applyFill="1" applyBorder="1" applyProtection="1"/>
    <xf numFmtId="0" fontId="8" fillId="13" borderId="0" xfId="0" applyFont="1" applyFill="1" applyBorder="1" applyAlignment="1" applyProtection="1">
      <alignment horizontal="center"/>
    </xf>
    <xf numFmtId="0" fontId="4" fillId="13" borderId="0" xfId="0" applyFont="1" applyFill="1" applyBorder="1" applyAlignment="1" applyProtection="1">
      <alignment horizontal="center"/>
    </xf>
    <xf numFmtId="0" fontId="4" fillId="13" borderId="38" xfId="0" applyFont="1" applyFill="1" applyBorder="1" applyAlignment="1" applyProtection="1">
      <alignment horizontal="center"/>
    </xf>
    <xf numFmtId="0" fontId="7" fillId="13" borderId="0" xfId="0" applyFont="1" applyFill="1" applyBorder="1" applyAlignment="1" applyProtection="1">
      <alignment horizontal="left"/>
    </xf>
    <xf numFmtId="0" fontId="7" fillId="13" borderId="0" xfId="0" applyFont="1" applyFill="1" applyBorder="1" applyAlignment="1" applyProtection="1">
      <alignment horizontal="center"/>
    </xf>
    <xf numFmtId="0" fontId="7" fillId="13" borderId="1" xfId="0" applyFont="1" applyFill="1" applyBorder="1" applyAlignment="1" applyProtection="1">
      <alignment horizontal="left"/>
    </xf>
    <xf numFmtId="0" fontId="7" fillId="13" borderId="2" xfId="0" applyFont="1" applyFill="1" applyBorder="1" applyAlignment="1" applyProtection="1">
      <alignment horizontal="left"/>
    </xf>
    <xf numFmtId="0" fontId="7" fillId="13" borderId="7" xfId="0" applyFont="1" applyFill="1" applyBorder="1" applyAlignment="1" applyProtection="1">
      <alignment horizontal="left"/>
    </xf>
    <xf numFmtId="0" fontId="9" fillId="14" borderId="78" xfId="0" applyFont="1" applyFill="1" applyBorder="1" applyAlignment="1" applyProtection="1">
      <alignment horizontal="center"/>
    </xf>
    <xf numFmtId="0" fontId="9" fillId="14" borderId="79" xfId="0" applyFont="1" applyFill="1" applyBorder="1" applyAlignment="1" applyProtection="1">
      <alignment horizontal="left"/>
    </xf>
    <xf numFmtId="166" fontId="10" fillId="14" borderId="74" xfId="0" applyNumberFormat="1" applyFont="1" applyFill="1" applyBorder="1" applyAlignment="1" applyProtection="1">
      <alignment horizontal="center"/>
    </xf>
    <xf numFmtId="1" fontId="9" fillId="10" borderId="31" xfId="0" applyNumberFormat="1" applyFont="1" applyFill="1" applyBorder="1" applyAlignment="1" applyProtection="1">
      <alignment horizontal="center"/>
    </xf>
    <xf numFmtId="3" fontId="9" fillId="10" borderId="31" xfId="0" applyNumberFormat="1" applyFont="1" applyFill="1" applyBorder="1" applyAlignment="1" applyProtection="1">
      <alignment horizontal="center"/>
    </xf>
    <xf numFmtId="4" fontId="9" fillId="7" borderId="28" xfId="0" applyNumberFormat="1" applyFont="1" applyFill="1" applyBorder="1" applyAlignment="1" applyProtection="1">
      <alignment horizontal="center"/>
    </xf>
    <xf numFmtId="3" fontId="9" fillId="7" borderId="31" xfId="0" applyNumberFormat="1" applyFont="1" applyFill="1" applyBorder="1" applyAlignment="1" applyProtection="1">
      <alignment horizontal="center"/>
    </xf>
    <xf numFmtId="4" fontId="9" fillId="7" borderId="31" xfId="0" applyNumberFormat="1" applyFont="1" applyFill="1" applyBorder="1" applyAlignment="1" applyProtection="1">
      <alignment horizontal="center"/>
    </xf>
    <xf numFmtId="3" fontId="9" fillId="10" borderId="28" xfId="0" applyNumberFormat="1" applyFont="1" applyFill="1" applyBorder="1" applyAlignment="1" applyProtection="1">
      <alignment horizontal="center"/>
    </xf>
    <xf numFmtId="3" fontId="10" fillId="10" borderId="27" xfId="0" applyNumberFormat="1" applyFont="1" applyFill="1" applyBorder="1" applyAlignment="1" applyProtection="1">
      <alignment horizontal="center"/>
    </xf>
    <xf numFmtId="4" fontId="10" fillId="6" borderId="27" xfId="0" applyNumberFormat="1" applyFont="1" applyFill="1" applyBorder="1" applyAlignment="1" applyProtection="1">
      <alignment horizontal="center"/>
    </xf>
    <xf numFmtId="1" fontId="9" fillId="10" borderId="28" xfId="0" applyNumberFormat="1" applyFont="1" applyFill="1" applyBorder="1" applyAlignment="1" applyProtection="1">
      <alignment horizontal="center"/>
    </xf>
    <xf numFmtId="3" fontId="10" fillId="10" borderId="25" xfId="0" applyNumberFormat="1" applyFont="1" applyFill="1" applyBorder="1" applyAlignment="1" applyProtection="1">
      <alignment horizontal="center"/>
    </xf>
    <xf numFmtId="3" fontId="9" fillId="10" borderId="25" xfId="0" applyNumberFormat="1" applyFont="1" applyFill="1" applyBorder="1" applyAlignment="1" applyProtection="1">
      <alignment horizontal="center"/>
    </xf>
    <xf numFmtId="4" fontId="10" fillId="6" borderId="25" xfId="0" applyNumberFormat="1" applyFont="1" applyFill="1" applyBorder="1" applyAlignment="1" applyProtection="1">
      <alignment horizontal="center"/>
    </xf>
    <xf numFmtId="0" fontId="2" fillId="10" borderId="28" xfId="0" applyFont="1" applyFill="1" applyBorder="1" applyProtection="1"/>
    <xf numFmtId="3" fontId="2" fillId="10" borderId="28" xfId="0" applyNumberFormat="1" applyFont="1" applyFill="1" applyBorder="1" applyProtection="1"/>
    <xf numFmtId="0" fontId="9" fillId="10" borderId="28" xfId="0" applyFont="1" applyFill="1" applyBorder="1" applyProtection="1"/>
    <xf numFmtId="168" fontId="9" fillId="10" borderId="28" xfId="0" applyNumberFormat="1" applyFont="1" applyFill="1" applyBorder="1" applyAlignment="1" applyProtection="1">
      <alignment horizontal="center"/>
    </xf>
    <xf numFmtId="168" fontId="2" fillId="10" borderId="28" xfId="0" applyNumberFormat="1" applyFont="1" applyFill="1" applyBorder="1" applyProtection="1"/>
    <xf numFmtId="0" fontId="10" fillId="10" borderId="25" xfId="0" applyFont="1" applyFill="1" applyBorder="1" applyAlignment="1" applyProtection="1">
      <alignment vertical="center"/>
    </xf>
    <xf numFmtId="3" fontId="10" fillId="10" borderId="58" xfId="0" applyNumberFormat="1" applyFont="1" applyFill="1" applyBorder="1" applyAlignment="1" applyProtection="1">
      <alignment horizontal="center"/>
    </xf>
    <xf numFmtId="4" fontId="10" fillId="6" borderId="58" xfId="0" applyNumberFormat="1" applyFont="1" applyFill="1" applyBorder="1" applyAlignment="1" applyProtection="1">
      <alignment horizontal="center"/>
    </xf>
    <xf numFmtId="4" fontId="14" fillId="14" borderId="73" xfId="0" applyNumberFormat="1" applyFont="1" applyFill="1" applyBorder="1" applyAlignment="1" applyProtection="1">
      <alignment horizontal="center"/>
    </xf>
    <xf numFmtId="3" fontId="10" fillId="10" borderId="28" xfId="0" applyNumberFormat="1" applyFont="1" applyFill="1" applyBorder="1" applyAlignment="1" applyProtection="1">
      <alignment horizontal="center"/>
    </xf>
    <xf numFmtId="0" fontId="2" fillId="3" borderId="41" xfId="0" applyFont="1" applyFill="1" applyBorder="1" applyProtection="1">
      <protection locked="0"/>
    </xf>
    <xf numFmtId="0" fontId="4" fillId="13" borderId="35" xfId="0" applyFont="1" applyFill="1" applyBorder="1" applyProtection="1">
      <protection locked="0"/>
    </xf>
    <xf numFmtId="0" fontId="3" fillId="13" borderId="40" xfId="0" applyFont="1" applyFill="1" applyBorder="1" applyProtection="1">
      <protection locked="0"/>
    </xf>
    <xf numFmtId="0" fontId="4" fillId="13" borderId="40" xfId="0" applyFont="1" applyFill="1" applyBorder="1" applyProtection="1">
      <protection locked="0"/>
    </xf>
    <xf numFmtId="0" fontId="9" fillId="3" borderId="0" xfId="0" applyFont="1" applyFill="1" applyProtection="1">
      <protection locked="0"/>
    </xf>
    <xf numFmtId="170" fontId="2" fillId="3" borderId="0" xfId="0" applyNumberFormat="1" applyFont="1" applyFill="1" applyBorder="1" applyAlignment="1" applyProtection="1">
      <alignment horizontal="center"/>
      <protection locked="0"/>
    </xf>
    <xf numFmtId="0" fontId="4" fillId="3" borderId="0" xfId="0" applyFont="1" applyFill="1" applyProtection="1">
      <protection locked="0"/>
    </xf>
    <xf numFmtId="0" fontId="3" fillId="13" borderId="0" xfId="0" applyFont="1" applyFill="1" applyBorder="1" applyProtection="1">
      <protection locked="0"/>
    </xf>
    <xf numFmtId="0" fontId="28" fillId="13" borderId="0" xfId="0" applyFont="1" applyFill="1" applyBorder="1" applyAlignment="1" applyProtection="1">
      <alignment horizontal="left"/>
      <protection locked="0"/>
    </xf>
    <xf numFmtId="0" fontId="4" fillId="13" borderId="0" xfId="0" applyFont="1" applyFill="1" applyBorder="1" applyAlignment="1" applyProtection="1">
      <alignment horizontal="center"/>
      <protection locked="0"/>
    </xf>
    <xf numFmtId="0" fontId="4" fillId="13" borderId="38" xfId="0" applyFont="1" applyFill="1" applyBorder="1" applyAlignment="1" applyProtection="1">
      <alignment horizontal="center"/>
      <protection locked="0"/>
    </xf>
    <xf numFmtId="173" fontId="2" fillId="3" borderId="0" xfId="0" applyNumberFormat="1" applyFont="1" applyFill="1" applyAlignment="1" applyProtection="1">
      <alignment horizontal="center"/>
      <protection locked="0"/>
    </xf>
    <xf numFmtId="170" fontId="5" fillId="3" borderId="0" xfId="0" applyNumberFormat="1" applyFont="1" applyFill="1" applyAlignment="1" applyProtection="1">
      <alignment horizontal="center"/>
      <protection locked="0"/>
    </xf>
    <xf numFmtId="170" fontId="2" fillId="3" borderId="0" xfId="0" applyNumberFormat="1" applyFont="1" applyFill="1" applyAlignment="1" applyProtection="1">
      <alignment horizontal="center"/>
      <protection locked="0"/>
    </xf>
    <xf numFmtId="9" fontId="2" fillId="3" borderId="0" xfId="1" applyFont="1" applyFill="1" applyBorder="1" applyAlignment="1" applyProtection="1">
      <alignment horizontal="center"/>
      <protection locked="0"/>
    </xf>
    <xf numFmtId="0" fontId="7" fillId="13" borderId="2" xfId="0" applyFont="1" applyFill="1" applyBorder="1" applyAlignment="1" applyProtection="1">
      <alignment horizontal="center"/>
    </xf>
    <xf numFmtId="37" fontId="10" fillId="10" borderId="27" xfId="0" applyNumberFormat="1" applyFont="1" applyFill="1" applyBorder="1" applyAlignment="1" applyProtection="1">
      <alignment horizontal="center"/>
    </xf>
    <xf numFmtId="0" fontId="3" fillId="13" borderId="37" xfId="0" applyFont="1" applyFill="1" applyBorder="1" applyAlignment="1" applyProtection="1">
      <alignment horizontal="left"/>
      <protection locked="0"/>
    </xf>
    <xf numFmtId="0" fontId="3" fillId="13" borderId="44" xfId="0" applyFont="1" applyFill="1" applyBorder="1" applyAlignment="1" applyProtection="1">
      <alignment horizontal="left"/>
      <protection locked="0"/>
    </xf>
    <xf numFmtId="0" fontId="3" fillId="13" borderId="45" xfId="0" applyFont="1" applyFill="1" applyBorder="1" applyProtection="1">
      <protection locked="0"/>
    </xf>
    <xf numFmtId="0" fontId="4" fillId="13" borderId="45" xfId="0" applyFont="1" applyFill="1" applyBorder="1" applyProtection="1">
      <protection locked="0"/>
    </xf>
    <xf numFmtId="0" fontId="4" fillId="13" borderId="46" xfId="0" applyFont="1" applyFill="1" applyBorder="1" applyProtection="1">
      <protection locked="0"/>
    </xf>
    <xf numFmtId="0" fontId="19" fillId="3" borderId="0" xfId="0" applyFont="1" applyFill="1" applyBorder="1" applyAlignment="1" applyProtection="1"/>
    <xf numFmtId="1" fontId="26" fillId="3" borderId="0" xfId="0" applyNumberFormat="1" applyFont="1" applyFill="1" applyAlignment="1" applyProtection="1">
      <alignment horizontal="center"/>
    </xf>
    <xf numFmtId="3" fontId="26" fillId="3" borderId="0" xfId="0" applyNumberFormat="1" applyFont="1" applyFill="1" applyAlignment="1" applyProtection="1">
      <alignment horizontal="center"/>
    </xf>
    <xf numFmtId="175" fontId="26" fillId="3" borderId="0" xfId="0" applyNumberFormat="1" applyFont="1" applyFill="1" applyAlignment="1" applyProtection="1">
      <alignment horizontal="center"/>
    </xf>
    <xf numFmtId="3" fontId="26" fillId="3" borderId="0" xfId="0" applyNumberFormat="1" applyFont="1" applyFill="1" applyAlignment="1" applyProtection="1">
      <alignment horizontal="left"/>
    </xf>
    <xf numFmtId="37" fontId="26" fillId="3" borderId="0" xfId="0" applyNumberFormat="1" applyFont="1" applyFill="1" applyAlignment="1" applyProtection="1">
      <alignment horizontal="center"/>
    </xf>
    <xf numFmtId="171" fontId="26" fillId="3" borderId="0" xfId="0" applyNumberFormat="1" applyFont="1" applyFill="1" applyAlignment="1" applyProtection="1">
      <alignment horizontal="center"/>
    </xf>
    <xf numFmtId="3" fontId="26" fillId="11" borderId="0" xfId="0" applyNumberFormat="1" applyFont="1" applyFill="1" applyAlignment="1" applyProtection="1">
      <alignment horizontal="center"/>
    </xf>
    <xf numFmtId="1" fontId="26" fillId="3" borderId="0" xfId="0" applyNumberFormat="1" applyFont="1" applyFill="1" applyBorder="1" applyAlignment="1" applyProtection="1">
      <alignment horizontal="center"/>
    </xf>
    <xf numFmtId="0" fontId="11" fillId="16" borderId="0" xfId="0" applyFont="1" applyFill="1" applyAlignment="1" applyProtection="1">
      <alignment horizontal="center"/>
    </xf>
    <xf numFmtId="0" fontId="3" fillId="13" borderId="63" xfId="0" applyFont="1" applyFill="1" applyBorder="1" applyAlignment="1" applyProtection="1">
      <alignment horizontal="left"/>
    </xf>
    <xf numFmtId="0" fontId="3" fillId="13" borderId="64" xfId="0" applyFont="1" applyFill="1" applyBorder="1" applyAlignment="1" applyProtection="1">
      <alignment horizontal="left"/>
    </xf>
    <xf numFmtId="1" fontId="4" fillId="3" borderId="0" xfId="0" applyNumberFormat="1" applyFont="1" applyFill="1" applyAlignment="1" applyProtection="1">
      <alignment horizontal="center"/>
    </xf>
    <xf numFmtId="0" fontId="11" fillId="11" borderId="0" xfId="0" applyFont="1" applyFill="1" applyAlignment="1" applyProtection="1">
      <alignment horizontal="center"/>
    </xf>
    <xf numFmtId="9" fontId="26" fillId="3" borderId="0" xfId="1" applyFont="1" applyFill="1" applyBorder="1" applyAlignment="1" applyProtection="1">
      <alignment horizontal="center"/>
    </xf>
    <xf numFmtId="170" fontId="26" fillId="3" borderId="0" xfId="0" applyNumberFormat="1" applyFont="1" applyFill="1" applyBorder="1" applyAlignment="1" applyProtection="1">
      <alignment horizontal="left"/>
    </xf>
    <xf numFmtId="0" fontId="4" fillId="11" borderId="0" xfId="0" applyFont="1" applyFill="1" applyProtection="1"/>
    <xf numFmtId="0" fontId="4" fillId="15" borderId="0" xfId="0" applyFont="1" applyFill="1" applyProtection="1"/>
    <xf numFmtId="0" fontId="3" fillId="13" borderId="61" xfId="0" applyFont="1" applyFill="1" applyBorder="1" applyAlignment="1" applyProtection="1">
      <alignment horizontal="center"/>
    </xf>
    <xf numFmtId="0" fontId="3" fillId="13" borderId="63" xfId="0" applyFont="1" applyFill="1" applyBorder="1" applyAlignment="1" applyProtection="1">
      <alignment horizontal="center"/>
    </xf>
    <xf numFmtId="0" fontId="3" fillId="13" borderId="0" xfId="0" applyFont="1" applyFill="1" applyBorder="1" applyAlignment="1" applyProtection="1">
      <alignment horizontal="center"/>
      <protection locked="0"/>
    </xf>
    <xf numFmtId="170" fontId="26" fillId="3" borderId="0" xfId="0" applyNumberFormat="1" applyFont="1" applyFill="1" applyAlignment="1" applyProtection="1">
      <alignment horizontal="center"/>
    </xf>
    <xf numFmtId="0" fontId="0" fillId="3" borderId="0" xfId="0" applyFill="1" applyProtection="1">
      <protection locked="0"/>
    </xf>
    <xf numFmtId="0" fontId="0" fillId="3" borderId="0" xfId="0" applyFill="1" applyProtection="1"/>
    <xf numFmtId="0" fontId="34" fillId="3" borderId="0" xfId="0" applyFont="1" applyFill="1" applyProtection="1">
      <protection locked="0"/>
    </xf>
    <xf numFmtId="0" fontId="37" fillId="3" borderId="0" xfId="0" applyFont="1" applyFill="1" applyProtection="1">
      <protection locked="0"/>
    </xf>
    <xf numFmtId="0" fontId="0" fillId="3" borderId="85" xfId="0" applyFill="1" applyBorder="1" applyAlignment="1" applyProtection="1">
      <protection locked="0"/>
    </xf>
    <xf numFmtId="0" fontId="38" fillId="3" borderId="0" xfId="0" applyFont="1" applyFill="1" applyAlignment="1" applyProtection="1">
      <protection locked="0"/>
    </xf>
    <xf numFmtId="0" fontId="0" fillId="3" borderId="0" xfId="0" applyFill="1" applyAlignment="1" applyProtection="1">
      <protection locked="0"/>
    </xf>
    <xf numFmtId="0" fontId="39" fillId="3" borderId="0" xfId="0" applyFont="1" applyFill="1" applyAlignment="1" applyProtection="1">
      <protection locked="0"/>
    </xf>
    <xf numFmtId="0" fontId="39" fillId="3" borderId="0" xfId="0" applyFont="1" applyFill="1" applyProtection="1">
      <protection locked="0"/>
    </xf>
    <xf numFmtId="0" fontId="32" fillId="3" borderId="0" xfId="0" applyFont="1" applyFill="1" applyProtection="1">
      <protection locked="0"/>
    </xf>
    <xf numFmtId="0" fontId="39" fillId="0" borderId="0" xfId="0" applyFont="1" applyProtection="1">
      <protection locked="0"/>
    </xf>
    <xf numFmtId="0" fontId="39" fillId="0" borderId="0" xfId="0" applyFont="1"/>
    <xf numFmtId="0" fontId="39" fillId="3" borderId="0" xfId="0" applyFont="1" applyFill="1" applyProtection="1"/>
    <xf numFmtId="0" fontId="4" fillId="3" borderId="37" xfId="0" applyFont="1" applyFill="1" applyBorder="1" applyProtection="1"/>
    <xf numFmtId="0" fontId="4" fillId="3" borderId="39" xfId="0" applyFont="1" applyFill="1" applyBorder="1" applyProtection="1"/>
    <xf numFmtId="0" fontId="33" fillId="3" borderId="0" xfId="0" applyFont="1" applyFill="1" applyProtection="1"/>
    <xf numFmtId="0" fontId="25" fillId="3" borderId="0" xfId="0" applyFont="1" applyFill="1" applyProtection="1"/>
    <xf numFmtId="0" fontId="24" fillId="3" borderId="0" xfId="0" applyFont="1" applyFill="1" applyProtection="1"/>
    <xf numFmtId="0" fontId="24" fillId="2" borderId="0" xfId="0" applyFont="1" applyFill="1" applyBorder="1" applyAlignment="1" applyProtection="1">
      <alignment horizontal="left"/>
    </xf>
    <xf numFmtId="3" fontId="24" fillId="19" borderId="61" xfId="0" applyNumberFormat="1" applyFont="1" applyFill="1" applyBorder="1" applyAlignment="1" applyProtection="1">
      <alignment horizontal="left"/>
    </xf>
    <xf numFmtId="0" fontId="24" fillId="19" borderId="61" xfId="0" applyNumberFormat="1" applyFont="1" applyFill="1" applyBorder="1" applyAlignment="1" applyProtection="1">
      <alignment horizontal="left"/>
    </xf>
    <xf numFmtId="0" fontId="3" fillId="13" borderId="34" xfId="0" applyFont="1" applyFill="1" applyBorder="1" applyProtection="1"/>
    <xf numFmtId="0" fontId="4" fillId="13" borderId="35" xfId="0" applyFont="1" applyFill="1" applyBorder="1" applyProtection="1"/>
    <xf numFmtId="0" fontId="4" fillId="13" borderId="36" xfId="0" applyFont="1" applyFill="1" applyBorder="1" applyProtection="1"/>
    <xf numFmtId="0" fontId="4" fillId="13" borderId="37" xfId="0" applyFont="1" applyFill="1" applyBorder="1" applyProtection="1"/>
    <xf numFmtId="0" fontId="3" fillId="13" borderId="0" xfId="0" applyFont="1" applyFill="1" applyBorder="1" applyAlignment="1" applyProtection="1">
      <alignment horizontal="center"/>
    </xf>
    <xf numFmtId="0" fontId="4" fillId="13" borderId="39" xfId="0" applyFont="1" applyFill="1" applyBorder="1" applyProtection="1"/>
    <xf numFmtId="0" fontId="3" fillId="13" borderId="40" xfId="0" applyFont="1" applyFill="1" applyBorder="1" applyAlignment="1" applyProtection="1">
      <alignment horizontal="center"/>
    </xf>
    <xf numFmtId="0" fontId="24" fillId="19" borderId="61" xfId="0" applyFont="1" applyFill="1" applyBorder="1" applyProtection="1"/>
    <xf numFmtId="167" fontId="26" fillId="14" borderId="15" xfId="0" applyNumberFormat="1" applyFont="1" applyFill="1" applyBorder="1" applyAlignment="1" applyProtection="1">
      <alignment horizontal="center"/>
    </xf>
    <xf numFmtId="167" fontId="26" fillId="14" borderId="7" xfId="0" applyNumberFormat="1" applyFont="1" applyFill="1" applyBorder="1" applyAlignment="1" applyProtection="1">
      <alignment horizontal="center"/>
    </xf>
    <xf numFmtId="167" fontId="26" fillId="14" borderId="14" xfId="0" applyNumberFormat="1" applyFont="1" applyFill="1" applyBorder="1" applyAlignment="1" applyProtection="1">
      <alignment horizontal="center"/>
    </xf>
    <xf numFmtId="0" fontId="26" fillId="14" borderId="23" xfId="0" applyFont="1" applyFill="1" applyBorder="1" applyAlignment="1" applyProtection="1">
      <alignment horizontal="center"/>
    </xf>
    <xf numFmtId="0" fontId="26" fillId="14" borderId="3" xfId="0" applyFont="1" applyFill="1" applyBorder="1" applyAlignment="1" applyProtection="1">
      <alignment horizontal="center"/>
    </xf>
    <xf numFmtId="0" fontId="26" fillId="14" borderId="7" xfId="0" applyFont="1" applyFill="1" applyBorder="1" applyAlignment="1" applyProtection="1">
      <alignment horizontal="center"/>
    </xf>
    <xf numFmtId="0" fontId="26" fillId="14" borderId="1" xfId="0" applyFont="1" applyFill="1" applyBorder="1" applyAlignment="1" applyProtection="1">
      <alignment horizontal="center"/>
    </xf>
    <xf numFmtId="0" fontId="26" fillId="14" borderId="2" xfId="0" applyFont="1" applyFill="1" applyBorder="1" applyAlignment="1" applyProtection="1">
      <alignment horizontal="center"/>
    </xf>
    <xf numFmtId="0" fontId="26" fillId="14" borderId="14" xfId="0" applyFont="1" applyFill="1" applyBorder="1" applyAlignment="1" applyProtection="1">
      <alignment horizontal="center"/>
    </xf>
    <xf numFmtId="0" fontId="26" fillId="14" borderId="15" xfId="0" applyFont="1" applyFill="1" applyBorder="1" applyAlignment="1" applyProtection="1">
      <alignment horizontal="center"/>
    </xf>
    <xf numFmtId="0" fontId="26" fillId="14" borderId="13" xfId="0" applyFont="1" applyFill="1" applyBorder="1" applyAlignment="1" applyProtection="1">
      <alignment horizontal="center"/>
    </xf>
    <xf numFmtId="0" fontId="26" fillId="14" borderId="0" xfId="0" applyFont="1" applyFill="1" applyBorder="1" applyAlignment="1" applyProtection="1">
      <alignment horizontal="center"/>
    </xf>
    <xf numFmtId="0" fontId="9" fillId="14" borderId="16" xfId="0" applyFont="1" applyFill="1" applyBorder="1" applyAlignment="1" applyProtection="1">
      <alignment horizontal="center"/>
    </xf>
    <xf numFmtId="0" fontId="9" fillId="3" borderId="0" xfId="0" applyFont="1" applyFill="1" applyAlignment="1" applyProtection="1">
      <alignment horizontal="left" vertical="center"/>
    </xf>
    <xf numFmtId="0" fontId="9" fillId="3" borderId="20" xfId="0" applyFont="1" applyFill="1" applyBorder="1" applyAlignment="1" applyProtection="1">
      <alignment horizontal="left" vertical="center" wrapText="1"/>
    </xf>
    <xf numFmtId="0" fontId="9" fillId="3" borderId="0" xfId="0" applyFont="1" applyFill="1" applyAlignment="1" applyProtection="1">
      <alignment horizontal="left" vertical="center" wrapText="1"/>
    </xf>
    <xf numFmtId="0" fontId="9" fillId="3" borderId="2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3" fontId="9" fillId="3" borderId="20" xfId="0" applyNumberFormat="1" applyFont="1" applyFill="1" applyBorder="1" applyAlignment="1" applyProtection="1">
      <alignment horizontal="center" vertical="center"/>
    </xf>
    <xf numFmtId="3" fontId="9" fillId="3" borderId="0" xfId="0" applyNumberFormat="1" applyFont="1" applyFill="1" applyAlignment="1" applyProtection="1">
      <alignment horizontal="center" vertical="center"/>
    </xf>
    <xf numFmtId="3" fontId="9" fillId="5" borderId="0" xfId="0" applyNumberFormat="1" applyFont="1" applyFill="1" applyAlignment="1" applyProtection="1">
      <alignment horizontal="center" vertical="center"/>
    </xf>
    <xf numFmtId="0" fontId="9" fillId="5"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5" borderId="0" xfId="0" applyFont="1" applyFill="1" applyAlignment="1" applyProtection="1">
      <alignment horizontal="left" vertical="center"/>
    </xf>
    <xf numFmtId="3" fontId="9" fillId="3" borderId="0" xfId="0" applyNumberFormat="1" applyFont="1" applyFill="1" applyBorder="1" applyAlignment="1" applyProtection="1">
      <alignment horizontal="left" vertical="center"/>
    </xf>
    <xf numFmtId="0" fontId="9" fillId="5" borderId="0" xfId="0" applyFont="1" applyFill="1" applyBorder="1" applyAlignment="1" applyProtection="1">
      <alignment horizontal="left" vertical="center" wrapText="1"/>
    </xf>
    <xf numFmtId="3" fontId="9" fillId="5" borderId="0" xfId="0" applyNumberFormat="1" applyFont="1" applyFill="1" applyBorder="1" applyAlignment="1" applyProtection="1">
      <alignment horizontal="left" vertical="center"/>
    </xf>
    <xf numFmtId="0" fontId="9" fillId="3"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16" fillId="5" borderId="18" xfId="0" quotePrefix="1" applyFont="1" applyFill="1" applyBorder="1" applyAlignment="1" applyProtection="1">
      <alignment horizontal="center"/>
    </xf>
    <xf numFmtId="1" fontId="9" fillId="3" borderId="20" xfId="0" applyNumberFormat="1" applyFont="1" applyFill="1" applyBorder="1" applyAlignment="1" applyProtection="1">
      <alignment horizontal="center" vertical="center"/>
    </xf>
    <xf numFmtId="0" fontId="9" fillId="3" borderId="20"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0" xfId="0" applyFont="1" applyFill="1" applyAlignment="1" applyProtection="1">
      <alignment horizontal="center" vertical="center" wrapText="1"/>
    </xf>
    <xf numFmtId="0" fontId="9" fillId="5" borderId="0" xfId="0" applyFont="1" applyFill="1" applyAlignment="1" applyProtection="1">
      <alignment horizontal="left" vertical="center" wrapText="1"/>
    </xf>
    <xf numFmtId="0" fontId="40" fillId="20" borderId="0" xfId="0" applyFont="1" applyFill="1" applyBorder="1" applyAlignment="1" applyProtection="1">
      <alignment horizontal="center"/>
      <protection locked="0"/>
    </xf>
    <xf numFmtId="0" fontId="3" fillId="13" borderId="0" xfId="0" quotePrefix="1" applyFont="1" applyFill="1" applyBorder="1" applyAlignment="1" applyProtection="1">
      <alignment horizontal="center"/>
    </xf>
    <xf numFmtId="0" fontId="3" fillId="13" borderId="0" xfId="0" applyFont="1" applyFill="1" applyBorder="1" applyAlignment="1" applyProtection="1">
      <alignment horizontal="center"/>
    </xf>
    <xf numFmtId="0" fontId="3" fillId="13" borderId="38" xfId="0" applyFont="1" applyFill="1" applyBorder="1" applyAlignment="1" applyProtection="1">
      <alignment horizontal="center"/>
    </xf>
    <xf numFmtId="0" fontId="3" fillId="13" borderId="80" xfId="0" quotePrefix="1" applyFont="1" applyFill="1" applyBorder="1" applyAlignment="1" applyProtection="1">
      <alignment horizontal="center"/>
    </xf>
    <xf numFmtId="0" fontId="3" fillId="13" borderId="22" xfId="0" quotePrefix="1" applyFont="1" applyFill="1" applyBorder="1" applyAlignment="1" applyProtection="1">
      <alignment horizontal="center"/>
    </xf>
    <xf numFmtId="0" fontId="3" fillId="13" borderId="67" xfId="0" applyFont="1" applyFill="1" applyBorder="1" applyAlignment="1" applyProtection="1">
      <alignment horizontal="center"/>
    </xf>
    <xf numFmtId="0" fontId="3" fillId="13" borderId="68" xfId="0" applyFont="1" applyFill="1" applyBorder="1" applyAlignment="1" applyProtection="1">
      <alignment horizontal="center"/>
    </xf>
    <xf numFmtId="0" fontId="3" fillId="13" borderId="63" xfId="0" applyFont="1" applyFill="1" applyBorder="1" applyAlignment="1" applyProtection="1">
      <alignment horizontal="center"/>
    </xf>
    <xf numFmtId="0" fontId="3" fillId="13" borderId="65" xfId="0" applyFont="1" applyFill="1" applyBorder="1" applyAlignment="1" applyProtection="1">
      <alignment horizontal="center"/>
    </xf>
    <xf numFmtId="0" fontId="3" fillId="13" borderId="64" xfId="0" applyFont="1" applyFill="1" applyBorder="1" applyAlignment="1" applyProtection="1">
      <alignment horizontal="center"/>
    </xf>
    <xf numFmtId="0" fontId="3" fillId="13" borderId="70" xfId="0" applyFont="1" applyFill="1" applyBorder="1" applyAlignment="1" applyProtection="1">
      <alignment horizontal="center"/>
    </xf>
    <xf numFmtId="167" fontId="5" fillId="18" borderId="1" xfId="0" applyNumberFormat="1" applyFont="1" applyFill="1" applyBorder="1" applyAlignment="1" applyProtection="1">
      <alignment horizontal="center"/>
      <protection hidden="1"/>
    </xf>
    <xf numFmtId="167" fontId="5" fillId="18" borderId="2" xfId="0" applyNumberFormat="1" applyFont="1" applyFill="1" applyBorder="1" applyAlignment="1" applyProtection="1">
      <alignment horizontal="center"/>
      <protection hidden="1"/>
    </xf>
    <xf numFmtId="167" fontId="5" fillId="18" borderId="3" xfId="0" applyNumberFormat="1" applyFont="1" applyFill="1" applyBorder="1" applyAlignment="1" applyProtection="1">
      <alignment horizontal="center"/>
      <protection hidden="1"/>
    </xf>
    <xf numFmtId="0" fontId="10" fillId="18" borderId="1"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3" xfId="0" applyFont="1" applyFill="1" applyBorder="1" applyAlignment="1" applyProtection="1">
      <alignment horizontal="center"/>
    </xf>
    <xf numFmtId="167" fontId="5" fillId="18" borderId="15" xfId="0" applyNumberFormat="1" applyFont="1" applyFill="1" applyBorder="1" applyAlignment="1" applyProtection="1">
      <alignment horizontal="center"/>
    </xf>
    <xf numFmtId="167" fontId="5" fillId="18" borderId="7" xfId="0" applyNumberFormat="1" applyFont="1" applyFill="1" applyBorder="1" applyAlignment="1" applyProtection="1">
      <alignment horizontal="center"/>
    </xf>
    <xf numFmtId="167" fontId="5" fillId="18" borderId="14" xfId="0" applyNumberFormat="1" applyFont="1" applyFill="1" applyBorder="1" applyAlignment="1" applyProtection="1">
      <alignment horizontal="center"/>
    </xf>
    <xf numFmtId="0" fontId="3" fillId="3" borderId="0" xfId="0" applyFont="1" applyFill="1" applyBorder="1" applyAlignment="1" applyProtection="1">
      <alignment horizontal="center"/>
    </xf>
    <xf numFmtId="0" fontId="3" fillId="3" borderId="24" xfId="0" applyFont="1" applyFill="1" applyBorder="1" applyAlignment="1" applyProtection="1">
      <alignment horizontal="center"/>
    </xf>
    <xf numFmtId="0" fontId="5" fillId="18" borderId="7" xfId="0" applyFont="1" applyFill="1" applyBorder="1" applyAlignment="1" applyProtection="1">
      <alignment horizontal="center"/>
    </xf>
    <xf numFmtId="0" fontId="5" fillId="18" borderId="14" xfId="0" applyFont="1" applyFill="1" applyBorder="1" applyAlignment="1" applyProtection="1">
      <alignment horizontal="center"/>
    </xf>
    <xf numFmtId="0" fontId="5" fillId="18" borderId="15" xfId="0" applyFont="1" applyFill="1" applyBorder="1" applyAlignment="1" applyProtection="1">
      <alignment horizontal="center"/>
    </xf>
    <xf numFmtId="0" fontId="3" fillId="17" borderId="0" xfId="0" applyFont="1" applyFill="1" applyBorder="1" applyAlignment="1" applyProtection="1">
      <alignment horizontal="center"/>
    </xf>
    <xf numFmtId="167" fontId="5" fillId="18" borderId="1" xfId="0" applyNumberFormat="1" applyFont="1" applyFill="1" applyBorder="1" applyAlignment="1" applyProtection="1">
      <alignment horizontal="center"/>
    </xf>
    <xf numFmtId="167" fontId="5" fillId="18" borderId="2" xfId="0" applyNumberFormat="1" applyFont="1" applyFill="1" applyBorder="1" applyAlignment="1" applyProtection="1">
      <alignment horizontal="center"/>
    </xf>
    <xf numFmtId="167" fontId="5" fillId="18" borderId="3" xfId="0" applyNumberFormat="1" applyFont="1" applyFill="1" applyBorder="1" applyAlignment="1" applyProtection="1">
      <alignment horizontal="center"/>
    </xf>
    <xf numFmtId="170" fontId="26" fillId="3" borderId="0" xfId="0" applyNumberFormat="1" applyFont="1" applyFill="1" applyAlignment="1" applyProtection="1">
      <alignment horizontal="center"/>
    </xf>
    <xf numFmtId="0" fontId="3" fillId="13" borderId="81" xfId="0" quotePrefix="1" applyFont="1" applyFill="1" applyBorder="1" applyAlignment="1" applyProtection="1">
      <alignment horizontal="center"/>
    </xf>
    <xf numFmtId="0" fontId="3" fillId="13" borderId="82" xfId="0" quotePrefix="1" applyFont="1" applyFill="1" applyBorder="1" applyAlignment="1" applyProtection="1">
      <alignment horizontal="center"/>
    </xf>
    <xf numFmtId="0" fontId="3" fillId="13" borderId="83" xfId="0" quotePrefix="1" applyFont="1" applyFill="1" applyBorder="1" applyAlignment="1" applyProtection="1">
      <alignment horizontal="center"/>
    </xf>
    <xf numFmtId="0" fontId="3" fillId="13" borderId="84" xfId="0" quotePrefix="1" applyFont="1" applyFill="1" applyBorder="1" applyAlignment="1" applyProtection="1">
      <alignment horizontal="center"/>
    </xf>
    <xf numFmtId="0" fontId="9" fillId="18" borderId="19" xfId="0" applyFont="1" applyFill="1" applyBorder="1" applyAlignment="1" applyProtection="1">
      <alignment horizontal="center"/>
    </xf>
    <xf numFmtId="0" fontId="9" fillId="18" borderId="16" xfId="0" applyFont="1" applyFill="1" applyBorder="1" applyAlignment="1" applyProtection="1">
      <alignment horizontal="center"/>
    </xf>
    <xf numFmtId="0" fontId="9" fillId="18" borderId="7" xfId="0" applyFont="1" applyFill="1" applyBorder="1" applyAlignment="1" applyProtection="1">
      <alignment horizontal="center"/>
    </xf>
    <xf numFmtId="0" fontId="9" fillId="18" borderId="15" xfId="0" applyFont="1" applyFill="1" applyBorder="1" applyAlignment="1" applyProtection="1">
      <alignment horizontal="center"/>
    </xf>
    <xf numFmtId="0" fontId="5" fillId="18" borderId="16" xfId="0" applyFont="1" applyFill="1" applyBorder="1" applyAlignment="1" applyProtection="1">
      <alignment horizontal="center"/>
    </xf>
    <xf numFmtId="0" fontId="5" fillId="18" borderId="17" xfId="0" applyFont="1" applyFill="1" applyBorder="1" applyAlignment="1" applyProtection="1">
      <alignment horizontal="center"/>
    </xf>
    <xf numFmtId="0" fontId="5" fillId="18" borderId="19" xfId="0" applyFont="1" applyFill="1" applyBorder="1" applyAlignment="1" applyProtection="1">
      <alignment horizontal="center"/>
    </xf>
    <xf numFmtId="0" fontId="34" fillId="3" borderId="44" xfId="0" applyFont="1" applyFill="1" applyBorder="1" applyAlignment="1" applyProtection="1">
      <alignment horizontal="center"/>
    </xf>
    <xf numFmtId="0" fontId="34" fillId="3" borderId="45" xfId="0" applyFont="1" applyFill="1" applyBorder="1" applyAlignment="1" applyProtection="1">
      <alignment horizontal="center"/>
    </xf>
    <xf numFmtId="0" fontId="34" fillId="3" borderId="46" xfId="0" applyFont="1" applyFill="1" applyBorder="1" applyAlignment="1" applyProtection="1">
      <alignment horizontal="center"/>
    </xf>
    <xf numFmtId="0" fontId="3" fillId="16" borderId="34" xfId="0" applyFont="1" applyFill="1" applyBorder="1" applyAlignment="1" applyProtection="1">
      <alignment horizontal="center" vertical="center" textRotation="90"/>
    </xf>
    <xf numFmtId="0" fontId="3" fillId="16" borderId="37" xfId="0" applyFont="1" applyFill="1" applyBorder="1" applyAlignment="1" applyProtection="1">
      <alignment horizontal="center" vertical="center" textRotation="90"/>
    </xf>
    <xf numFmtId="0" fontId="3" fillId="16" borderId="39" xfId="0" applyFont="1" applyFill="1" applyBorder="1" applyAlignment="1" applyProtection="1">
      <alignment horizontal="center" vertical="center" textRotation="90"/>
    </xf>
    <xf numFmtId="0" fontId="3" fillId="13" borderId="61" xfId="0" applyFont="1" applyFill="1" applyBorder="1" applyAlignment="1" applyProtection="1">
      <alignment horizontal="center"/>
    </xf>
  </cellXfs>
  <cellStyles count="2">
    <cellStyle name="Normal" xfId="0" builtinId="0"/>
    <cellStyle name="Percent" xfId="1" builtinId="5"/>
  </cellStyles>
  <dxfs count="8">
    <dxf>
      <fill>
        <patternFill>
          <bgColor theme="0" tint="-4.9989318521683403E-2"/>
        </patternFill>
      </fill>
    </dxf>
    <dxf>
      <font>
        <b/>
        <i val="0"/>
        <color theme="0"/>
      </font>
      <fill>
        <patternFill>
          <bgColor theme="0" tint="-0.34998626667073579"/>
        </patternFill>
      </fill>
    </dxf>
    <dxf>
      <border>
        <left style="thin">
          <color theme="0" tint="-0.34998626667073579"/>
        </left>
        <vertical/>
        <horizontal/>
      </border>
    </dxf>
    <dxf>
      <fill>
        <patternFill>
          <bgColor theme="0" tint="-0.34998626667073579"/>
        </patternFill>
      </fill>
    </dxf>
    <dxf>
      <border>
        <left style="thin">
          <color theme="0" tint="-0.34998626667073579"/>
        </left>
        <vertical/>
        <horizontal/>
      </border>
    </dxf>
    <dxf>
      <font>
        <b/>
        <i val="0"/>
        <color theme="0"/>
      </font>
      <fill>
        <patternFill>
          <bgColor theme="0" tint="-0.34998626667073579"/>
        </patternFill>
      </fill>
      <border>
        <top/>
        <bottom/>
      </border>
    </dxf>
    <dxf>
      <fill>
        <patternFill>
          <bgColor theme="0" tint="-4.9989318521683403E-2"/>
        </patternFill>
      </fill>
    </dxf>
    <dxf>
      <fill>
        <patternFill>
          <bgColor theme="0" tint="-0.34998626667073579"/>
        </patternFill>
      </fill>
      <border>
        <left style="thin">
          <color theme="0" tint="-0.34998626667073579"/>
        </left>
      </border>
    </dxf>
  </dxfs>
  <tableStyles count="0" defaultTableStyle="TableStyleMedium9" defaultPivotStyle="PivotStyleLight16"/>
  <colors>
    <mruColors>
      <color rgb="FF333333"/>
      <color rgb="FF055073"/>
      <color rgb="FFFEFCBE"/>
      <color rgb="FF000000"/>
      <color rgb="FFC00000"/>
      <color rgb="FFFFFFCC"/>
      <color rgb="FFF5F5EB"/>
      <color rgb="FFFFFFB3"/>
      <color rgb="FF59595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baseline="0"/>
              <a:t>Low Thrust Severity Curves</a:t>
            </a:r>
            <a:endParaRPr lang="en-US" sz="1000" b="1"/>
          </a:p>
        </c:rich>
      </c:tx>
      <c:layout>
        <c:manualLayout>
          <c:xMode val="edge"/>
          <c:yMode val="edge"/>
          <c:x val="0.2552965769492298"/>
          <c:y val="0"/>
        </c:manualLayout>
      </c:layout>
      <c:overlay val="1"/>
    </c:title>
    <c:autoTitleDeleted val="0"/>
    <c:plotArea>
      <c:layout>
        <c:manualLayout>
          <c:layoutTarget val="inner"/>
          <c:xMode val="edge"/>
          <c:yMode val="edge"/>
          <c:x val="0.1024645751056828"/>
          <c:y val="0.10989010989011012"/>
          <c:w val="0.88122157627492825"/>
          <c:h val="0.70473710017017765"/>
        </c:manualLayout>
      </c:layout>
      <c:lineChart>
        <c:grouping val="standard"/>
        <c:varyColors val="0"/>
        <c:ser>
          <c:idx val="0"/>
          <c:order val="0"/>
          <c:tx>
            <c:v>Severity</c:v>
          </c:tx>
          <c:spPr>
            <a:ln w="25400"/>
          </c:spPr>
          <c:marker>
            <c:symbol val="diamond"/>
            <c:size val="5"/>
          </c:marker>
          <c:cat>
            <c:multiLvlStrRef>
              <c:f>SOURCE!$BK$5:$BK$15</c:f>
            </c:multiLvlStrRef>
          </c:cat>
          <c:val>
            <c:numRef>
              <c:f>SOURCE!$BL$5:$BL$15</c:f>
            </c:numRef>
          </c:val>
          <c:smooth val="0"/>
        </c:ser>
        <c:ser>
          <c:idx val="1"/>
          <c:order val="1"/>
          <c:tx>
            <c:v>T&amp;M</c:v>
          </c:tx>
          <c:spPr>
            <a:ln w="25400"/>
          </c:spPr>
          <c:marker>
            <c:symbol val="square"/>
            <c:size val="5"/>
            <c:spPr>
              <a:ln w="6350"/>
            </c:spPr>
          </c:marker>
          <c:cat>
            <c:multiLvlStrRef>
              <c:f>SOURCE!$BK$5:$BK$15</c:f>
            </c:multiLvlStrRef>
          </c:cat>
          <c:val>
            <c:numRef>
              <c:f>SOURCE!$BM$5:$BM$15</c:f>
            </c:numRef>
          </c:val>
          <c:smooth val="0"/>
        </c:ser>
        <c:dLbls>
          <c:showLegendKey val="0"/>
          <c:showVal val="0"/>
          <c:showCatName val="0"/>
          <c:showSerName val="0"/>
          <c:showPercent val="0"/>
          <c:showBubbleSize val="0"/>
        </c:dLbls>
        <c:marker val="1"/>
        <c:smooth val="0"/>
        <c:axId val="67904512"/>
        <c:axId val="39342016"/>
      </c:lineChart>
      <c:catAx>
        <c:axId val="67904512"/>
        <c:scaling>
          <c:orientation val="minMax"/>
        </c:scaling>
        <c:delete val="0"/>
        <c:axPos val="b"/>
        <c:numFmt formatCode="0.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39342016"/>
        <c:crosses val="autoZero"/>
        <c:auto val="1"/>
        <c:lblAlgn val="ctr"/>
        <c:lblOffset val="100"/>
        <c:tickLblSkip val="1"/>
        <c:noMultiLvlLbl val="0"/>
      </c:catAx>
      <c:valAx>
        <c:axId val="39342016"/>
        <c:scaling>
          <c:orientation val="minMax"/>
        </c:scaling>
        <c:delete val="0"/>
        <c:axPos val="l"/>
        <c:majorGridlines>
          <c:spPr>
            <a:ln>
              <a:solidFill>
                <a:schemeClr val="bg1">
                  <a:lumMod val="85000"/>
                </a:schemeClr>
              </a:solidFill>
              <a:prstDash val="sysDash"/>
            </a:ln>
          </c:spPr>
        </c:majorGridlines>
        <c:numFmt formatCode="0.0" sourceLinked="0"/>
        <c:majorTickMark val="out"/>
        <c:minorTickMark val="none"/>
        <c:tickLblPos val="nextTo"/>
        <c:txPr>
          <a:bodyPr/>
          <a:lstStyle/>
          <a:p>
            <a:pPr>
              <a:defRPr sz="700">
                <a:solidFill>
                  <a:schemeClr val="tx1">
                    <a:lumMod val="65000"/>
                    <a:lumOff val="35000"/>
                  </a:schemeClr>
                </a:solidFill>
              </a:defRPr>
            </a:pPr>
            <a:endParaRPr lang="en-US"/>
          </a:p>
        </c:txPr>
        <c:crossAx val="67904512"/>
        <c:crosses val="autoZero"/>
        <c:crossBetween val="between"/>
      </c:valAx>
    </c:plotArea>
    <c:legend>
      <c:legendPos val="t"/>
      <c:layout>
        <c:manualLayout>
          <c:xMode val="edge"/>
          <c:yMode val="edge"/>
          <c:x val="0.23788799304880445"/>
          <c:y val="9.9055115592250151E-2"/>
          <c:w val="0.52670947934107437"/>
          <c:h val="7.759642372034635E-2"/>
        </c:manualLayout>
      </c:layout>
      <c:overlay val="0"/>
      <c:txPr>
        <a:bodyPr/>
        <a:lstStyle/>
        <a:p>
          <a:pPr>
            <a:defRPr sz="800"/>
          </a:pPr>
          <a:endParaRPr lang="en-US"/>
        </a:p>
      </c:txPr>
    </c:legend>
    <c:plotVisOnly val="1"/>
    <c:dispBlanksAs val="gap"/>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baseline="0"/>
              <a:t>High Thrust Severity Curves</a:t>
            </a:r>
            <a:endParaRPr lang="en-US" sz="1000" b="1"/>
          </a:p>
        </c:rich>
      </c:tx>
      <c:layout>
        <c:manualLayout>
          <c:xMode val="edge"/>
          <c:yMode val="edge"/>
          <c:x val="0.25428155621555204"/>
          <c:y val="0"/>
        </c:manualLayout>
      </c:layout>
      <c:overlay val="1"/>
    </c:title>
    <c:autoTitleDeleted val="0"/>
    <c:plotArea>
      <c:layout>
        <c:manualLayout>
          <c:layoutTarget val="inner"/>
          <c:xMode val="edge"/>
          <c:yMode val="edge"/>
          <c:x val="0.10246457510568285"/>
          <c:y val="0.10989010989011012"/>
          <c:w val="0.88122157627492825"/>
          <c:h val="0.70473710017017765"/>
        </c:manualLayout>
      </c:layout>
      <c:lineChart>
        <c:grouping val="standard"/>
        <c:varyColors val="0"/>
        <c:ser>
          <c:idx val="0"/>
          <c:order val="0"/>
          <c:tx>
            <c:v>Severity</c:v>
          </c:tx>
          <c:spPr>
            <a:ln w="25400"/>
          </c:spPr>
          <c:marker>
            <c:symbol val="diamond"/>
            <c:size val="5"/>
          </c:marker>
          <c:cat>
            <c:multiLvlStrRef>
              <c:f>SOURCE!$BK$5:$BK$15</c:f>
            </c:multiLvlStrRef>
          </c:cat>
          <c:val>
            <c:numRef>
              <c:f>SOURCE!$BP$5:$BP$15</c:f>
            </c:numRef>
          </c:val>
          <c:smooth val="0"/>
        </c:ser>
        <c:ser>
          <c:idx val="1"/>
          <c:order val="1"/>
          <c:tx>
            <c:v>T&amp;M</c:v>
          </c:tx>
          <c:spPr>
            <a:ln w="25400"/>
          </c:spPr>
          <c:marker>
            <c:symbol val="square"/>
            <c:size val="5"/>
            <c:spPr>
              <a:ln w="6350"/>
            </c:spPr>
          </c:marker>
          <c:cat>
            <c:multiLvlStrRef>
              <c:f>SOURCE!$BK$5:$BK$15</c:f>
            </c:multiLvlStrRef>
          </c:cat>
          <c:val>
            <c:numRef>
              <c:f>SOURCE!$BQ$5:$BQ$15</c:f>
            </c:numRef>
          </c:val>
          <c:smooth val="0"/>
        </c:ser>
        <c:dLbls>
          <c:showLegendKey val="0"/>
          <c:showVal val="0"/>
          <c:showCatName val="0"/>
          <c:showSerName val="0"/>
          <c:showPercent val="0"/>
          <c:showBubbleSize val="0"/>
        </c:dLbls>
        <c:marker val="1"/>
        <c:smooth val="0"/>
        <c:axId val="92149760"/>
        <c:axId val="39343744"/>
      </c:lineChart>
      <c:catAx>
        <c:axId val="92149760"/>
        <c:scaling>
          <c:orientation val="minMax"/>
        </c:scaling>
        <c:delete val="0"/>
        <c:axPos val="b"/>
        <c:numFmt formatCode="0.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39343744"/>
        <c:crosses val="autoZero"/>
        <c:auto val="1"/>
        <c:lblAlgn val="ctr"/>
        <c:lblOffset val="100"/>
        <c:tickLblSkip val="1"/>
        <c:noMultiLvlLbl val="0"/>
      </c:catAx>
      <c:valAx>
        <c:axId val="39343744"/>
        <c:scaling>
          <c:orientation val="minMax"/>
        </c:scaling>
        <c:delete val="0"/>
        <c:axPos val="l"/>
        <c:majorGridlines>
          <c:spPr>
            <a:ln>
              <a:solidFill>
                <a:schemeClr val="bg1">
                  <a:lumMod val="85000"/>
                </a:schemeClr>
              </a:solidFill>
              <a:prstDash val="sysDash"/>
            </a:ln>
          </c:spPr>
        </c:majorGridlines>
        <c:numFmt formatCode="0.0" sourceLinked="0"/>
        <c:majorTickMark val="out"/>
        <c:minorTickMark val="none"/>
        <c:tickLblPos val="nextTo"/>
        <c:txPr>
          <a:bodyPr/>
          <a:lstStyle/>
          <a:p>
            <a:pPr>
              <a:defRPr sz="700">
                <a:solidFill>
                  <a:schemeClr val="tx1">
                    <a:lumMod val="65000"/>
                    <a:lumOff val="35000"/>
                  </a:schemeClr>
                </a:solidFill>
              </a:defRPr>
            </a:pPr>
            <a:endParaRPr lang="en-US"/>
          </a:p>
        </c:txPr>
        <c:crossAx val="92149760"/>
        <c:crosses val="autoZero"/>
        <c:crossBetween val="between"/>
      </c:valAx>
    </c:plotArea>
    <c:legend>
      <c:legendPos val="t"/>
      <c:layout>
        <c:manualLayout>
          <c:xMode val="edge"/>
          <c:yMode val="edge"/>
          <c:x val="0.26267043965042008"/>
          <c:y val="9.9487132083660057E-2"/>
          <c:w val="0.49526381218797455"/>
          <c:h val="7.7934850812386852E-2"/>
        </c:manualLayout>
      </c:layout>
      <c:overlay val="0"/>
      <c:txPr>
        <a:bodyPr/>
        <a:lstStyle/>
        <a:p>
          <a:pPr>
            <a:defRPr sz="800"/>
          </a:pPr>
          <a:endParaRPr lang="en-US"/>
        </a:p>
      </c:txPr>
    </c:legend>
    <c:plotVisOnly val="1"/>
    <c:dispBlanksAs val="gap"/>
    <c:showDLblsOverMax val="0"/>
  </c:chart>
  <c:spPr>
    <a:solidFill>
      <a:sysClr val="window" lastClr="FFFFFF"/>
    </a:solidFill>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Derate</a:t>
            </a:r>
            <a:r>
              <a:rPr lang="en-US" sz="1100" baseline="0"/>
              <a:t> Factors</a:t>
            </a:r>
            <a:endParaRPr lang="en-US" sz="1100"/>
          </a:p>
        </c:rich>
      </c:tx>
      <c:overlay val="1"/>
    </c:title>
    <c:autoTitleDeleted val="0"/>
    <c:plotArea>
      <c:layout>
        <c:manualLayout>
          <c:layoutTarget val="inner"/>
          <c:xMode val="edge"/>
          <c:yMode val="edge"/>
          <c:x val="4.8378767468881208E-2"/>
          <c:y val="0.10989010989011012"/>
          <c:w val="0.93530734584102915"/>
          <c:h val="0.70473710017017765"/>
        </c:manualLayout>
      </c:layout>
      <c:lineChart>
        <c:grouping val="standard"/>
        <c:varyColors val="0"/>
        <c:ser>
          <c:idx val="0"/>
          <c:order val="0"/>
          <c:tx>
            <c:v>Low Thrust</c:v>
          </c:tx>
          <c:spPr>
            <a:ln w="25400"/>
          </c:spPr>
          <c:marker>
            <c:symbol val="diamond"/>
            <c:size val="5"/>
          </c:marker>
          <c:cat>
            <c:multiLvlStrRef>
              <c:f>SOURCE!$BW$5:$BW$25</c:f>
            </c:multiLvlStrRef>
          </c:cat>
          <c:val>
            <c:numRef>
              <c:f>SOURCE!$BX$5:$BX$25</c:f>
            </c:numRef>
          </c:val>
          <c:smooth val="0"/>
        </c:ser>
        <c:ser>
          <c:idx val="1"/>
          <c:order val="1"/>
          <c:tx>
            <c:v>Mid Thrust</c:v>
          </c:tx>
          <c:spPr>
            <a:ln w="25400"/>
          </c:spPr>
          <c:marker>
            <c:symbol val="square"/>
            <c:size val="5"/>
            <c:spPr>
              <a:ln w="6350"/>
            </c:spPr>
          </c:marker>
          <c:cat>
            <c:multiLvlStrRef>
              <c:f>SOURCE!$BW$5:$BW$25</c:f>
            </c:multiLvlStrRef>
          </c:cat>
          <c:val>
            <c:numRef>
              <c:f>SOURCE!$BY$5:$BY$25</c:f>
            </c:numRef>
          </c:val>
          <c:smooth val="0"/>
        </c:ser>
        <c:ser>
          <c:idx val="2"/>
          <c:order val="2"/>
          <c:tx>
            <c:v>High Thrust</c:v>
          </c:tx>
          <c:cat>
            <c:multiLvlStrRef>
              <c:f>SOURCE!$BW$5:$BW$25</c:f>
            </c:multiLvlStrRef>
          </c:cat>
          <c:val>
            <c:numRef>
              <c:f>SOURCE!$BZ$5:$BZ$25</c:f>
            </c:numRef>
          </c:val>
          <c:smooth val="0"/>
        </c:ser>
        <c:dLbls>
          <c:showLegendKey val="0"/>
          <c:showVal val="0"/>
          <c:showCatName val="0"/>
          <c:showSerName val="0"/>
          <c:showPercent val="0"/>
          <c:showBubbleSize val="0"/>
        </c:dLbls>
        <c:marker val="1"/>
        <c:smooth val="0"/>
        <c:axId val="92151296"/>
        <c:axId val="39345472"/>
      </c:lineChart>
      <c:catAx>
        <c:axId val="92151296"/>
        <c:scaling>
          <c:orientation val="minMax"/>
        </c:scaling>
        <c:delete val="0"/>
        <c:axPos val="b"/>
        <c:numFmt formatCode="0%" sourceLinked="0"/>
        <c:majorTickMark val="out"/>
        <c:minorTickMark val="none"/>
        <c:tickLblPos val="nextTo"/>
        <c:txPr>
          <a:bodyPr rot="-5400000" vert="horz"/>
          <a:lstStyle/>
          <a:p>
            <a:pPr>
              <a:defRPr sz="700">
                <a:solidFill>
                  <a:schemeClr val="tx1">
                    <a:lumMod val="65000"/>
                    <a:lumOff val="35000"/>
                  </a:schemeClr>
                </a:solidFill>
              </a:defRPr>
            </a:pPr>
            <a:endParaRPr lang="en-US"/>
          </a:p>
        </c:txPr>
        <c:crossAx val="39345472"/>
        <c:crosses val="autoZero"/>
        <c:auto val="1"/>
        <c:lblAlgn val="ctr"/>
        <c:lblOffset val="100"/>
        <c:tickLblSkip val="1"/>
        <c:noMultiLvlLbl val="0"/>
      </c:catAx>
      <c:valAx>
        <c:axId val="39345472"/>
        <c:scaling>
          <c:orientation val="minMax"/>
          <c:max val="1.2"/>
          <c:min val="0.8"/>
        </c:scaling>
        <c:delete val="0"/>
        <c:axPos val="l"/>
        <c:majorGridlines>
          <c:spPr>
            <a:ln>
              <a:solidFill>
                <a:schemeClr val="bg1">
                  <a:lumMod val="85000"/>
                </a:schemeClr>
              </a:solidFill>
              <a:prstDash val="sysDash"/>
            </a:ln>
          </c:spPr>
        </c:majorGridlines>
        <c:numFmt formatCode="0.00" sourceLinked="0"/>
        <c:majorTickMark val="out"/>
        <c:minorTickMark val="none"/>
        <c:tickLblPos val="nextTo"/>
        <c:txPr>
          <a:bodyPr/>
          <a:lstStyle/>
          <a:p>
            <a:pPr>
              <a:defRPr sz="700">
                <a:solidFill>
                  <a:schemeClr val="tx1">
                    <a:lumMod val="65000"/>
                    <a:lumOff val="35000"/>
                  </a:schemeClr>
                </a:solidFill>
              </a:defRPr>
            </a:pPr>
            <a:endParaRPr lang="en-US"/>
          </a:p>
        </c:txPr>
        <c:crossAx val="92151296"/>
        <c:crosses val="autoZero"/>
        <c:crossBetween val="between"/>
      </c:valAx>
    </c:plotArea>
    <c:legend>
      <c:legendPos val="t"/>
      <c:layout>
        <c:manualLayout>
          <c:xMode val="edge"/>
          <c:yMode val="edge"/>
          <c:x val="7.9389388826396692E-2"/>
          <c:y val="0.1152577385316714"/>
          <c:w val="0.87139370078740175"/>
          <c:h val="7.7927408861561687E-2"/>
        </c:manualLayout>
      </c:layout>
      <c:overlay val="0"/>
      <c:txPr>
        <a:bodyPr/>
        <a:lstStyle/>
        <a:p>
          <a:pPr>
            <a:defRPr sz="800"/>
          </a:pPr>
          <a:endParaRPr lang="en-US"/>
        </a:p>
      </c:txPr>
    </c:legend>
    <c:plotVisOnly val="1"/>
    <c:dispBlanksAs val="gap"/>
    <c:showDLblsOverMax val="0"/>
  </c:chart>
  <c:spPr>
    <a:solidFill>
      <a:sysClr val="window" lastClr="FFFFFF"/>
    </a:solidFill>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pPr>
          <a:endParaRPr lang="en-US"/>
        </a:p>
      </c:txPr>
    </c:title>
    <c:autoTitleDeleted val="0"/>
    <c:plotArea>
      <c:layout>
        <c:manualLayout>
          <c:layoutTarget val="inner"/>
          <c:xMode val="edge"/>
          <c:yMode val="edge"/>
          <c:x val="0.30020203066721918"/>
          <c:y val="0.20895397335632995"/>
          <c:w val="0.5489097251001519"/>
          <c:h val="0.62850492595234053"/>
        </c:manualLayout>
      </c:layout>
      <c:barChart>
        <c:barDir val="bar"/>
        <c:grouping val="clustered"/>
        <c:varyColors val="0"/>
        <c:ser>
          <c:idx val="0"/>
          <c:order val="0"/>
          <c:tx>
            <c:v>Environmental Factors</c:v>
          </c:tx>
          <c:invertIfNegative val="0"/>
          <c:cat>
            <c:multiLvlStrRef>
              <c:f>SOURCE!$BU$5:$BU$7</c:f>
            </c:multiLvlStrRef>
          </c:cat>
          <c:val>
            <c:numRef>
              <c:f>SOURCE!$BV$5:$BV$7</c:f>
            </c:numRef>
          </c:val>
        </c:ser>
        <c:dLbls>
          <c:showLegendKey val="0"/>
          <c:showVal val="0"/>
          <c:showCatName val="0"/>
          <c:showSerName val="0"/>
          <c:showPercent val="0"/>
          <c:showBubbleSize val="0"/>
        </c:dLbls>
        <c:gapWidth val="150"/>
        <c:axId val="119504896"/>
        <c:axId val="57812096"/>
      </c:barChart>
      <c:catAx>
        <c:axId val="119504896"/>
        <c:scaling>
          <c:orientation val="minMax"/>
        </c:scaling>
        <c:delete val="0"/>
        <c:axPos val="l"/>
        <c:majorTickMark val="out"/>
        <c:minorTickMark val="none"/>
        <c:tickLblPos val="nextTo"/>
        <c:txPr>
          <a:bodyPr/>
          <a:lstStyle/>
          <a:p>
            <a:pPr>
              <a:defRPr sz="800"/>
            </a:pPr>
            <a:endParaRPr lang="en-US"/>
          </a:p>
        </c:txPr>
        <c:crossAx val="57812096"/>
        <c:crosses val="autoZero"/>
        <c:auto val="1"/>
        <c:lblAlgn val="ctr"/>
        <c:lblOffset val="100"/>
        <c:noMultiLvlLbl val="0"/>
      </c:catAx>
      <c:valAx>
        <c:axId val="57812096"/>
        <c:scaling>
          <c:orientation val="minMax"/>
        </c:scaling>
        <c:delete val="0"/>
        <c:axPos val="b"/>
        <c:numFmt formatCode="0.000" sourceLinked="1"/>
        <c:majorTickMark val="out"/>
        <c:minorTickMark val="none"/>
        <c:tickLblPos val="nextTo"/>
        <c:txPr>
          <a:bodyPr/>
          <a:lstStyle/>
          <a:p>
            <a:pPr>
              <a:defRPr sz="700">
                <a:solidFill>
                  <a:schemeClr val="bg1">
                    <a:lumMod val="50000"/>
                  </a:schemeClr>
                </a:solidFill>
              </a:defRPr>
            </a:pPr>
            <a:endParaRPr lang="en-US"/>
          </a:p>
        </c:txPr>
        <c:crossAx val="11950489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5131295658559E-2"/>
          <c:y val="0.10049405589007257"/>
          <c:w val="0.82324367897755746"/>
          <c:h val="0.79108743759971178"/>
        </c:manualLayout>
      </c:layout>
      <c:barChart>
        <c:barDir val="col"/>
        <c:grouping val="clustered"/>
        <c:varyColors val="0"/>
        <c:ser>
          <c:idx val="1"/>
          <c:order val="1"/>
          <c:tx>
            <c:v>Mx COSTS - $M</c:v>
          </c:tx>
          <c:spPr>
            <a:ln w="0">
              <a:noFill/>
            </a:ln>
          </c:spPr>
          <c:invertIfNegative val="0"/>
          <c:val>
            <c:numRef>
              <c:f>'Mx FORECAST'!$GD$5:$GD$185</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185400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220400</c:v>
                </c:pt>
                <c:pt idx="37">
                  <c:v>0</c:v>
                </c:pt>
                <c:pt idx="38">
                  <c:v>0</c:v>
                </c:pt>
                <c:pt idx="39">
                  <c:v>0</c:v>
                </c:pt>
                <c:pt idx="40">
                  <c:v>0</c:v>
                </c:pt>
                <c:pt idx="41">
                  <c:v>248100</c:v>
                </c:pt>
                <c:pt idx="42">
                  <c:v>0</c:v>
                </c:pt>
                <c:pt idx="43">
                  <c:v>0</c:v>
                </c:pt>
                <c:pt idx="44">
                  <c:v>0</c:v>
                </c:pt>
                <c:pt idx="45">
                  <c:v>0</c:v>
                </c:pt>
                <c:pt idx="46">
                  <c:v>0</c:v>
                </c:pt>
                <c:pt idx="47">
                  <c:v>0</c:v>
                </c:pt>
                <c:pt idx="48">
                  <c:v>0</c:v>
                </c:pt>
                <c:pt idx="49">
                  <c:v>0</c:v>
                </c:pt>
                <c:pt idx="50">
                  <c:v>0</c:v>
                </c:pt>
                <c:pt idx="51">
                  <c:v>0</c:v>
                </c:pt>
                <c:pt idx="52">
                  <c:v>0</c:v>
                </c:pt>
                <c:pt idx="53">
                  <c:v>0</c:v>
                </c:pt>
                <c:pt idx="54">
                  <c:v>185400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827090</c:v>
                </c:pt>
                <c:pt idx="73">
                  <c:v>0</c:v>
                </c:pt>
                <c:pt idx="74">
                  <c:v>0</c:v>
                </c:pt>
                <c:pt idx="75">
                  <c:v>0</c:v>
                </c:pt>
                <c:pt idx="76">
                  <c:v>0</c:v>
                </c:pt>
                <c:pt idx="77">
                  <c:v>0</c:v>
                </c:pt>
                <c:pt idx="78">
                  <c:v>0</c:v>
                </c:pt>
                <c:pt idx="79">
                  <c:v>0</c:v>
                </c:pt>
                <c:pt idx="80">
                  <c:v>0</c:v>
                </c:pt>
                <c:pt idx="81">
                  <c:v>0</c:v>
                </c:pt>
                <c:pt idx="82">
                  <c:v>248100</c:v>
                </c:pt>
                <c:pt idx="83">
                  <c:v>0</c:v>
                </c:pt>
                <c:pt idx="84">
                  <c:v>0</c:v>
                </c:pt>
                <c:pt idx="85">
                  <c:v>7307280</c:v>
                </c:pt>
                <c:pt idx="86">
                  <c:v>0</c:v>
                </c:pt>
                <c:pt idx="87">
                  <c:v>0</c:v>
                </c:pt>
                <c:pt idx="88">
                  <c:v>0</c:v>
                </c:pt>
                <c:pt idx="89">
                  <c:v>0</c:v>
                </c:pt>
                <c:pt idx="90">
                  <c:v>222480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264480</c:v>
                </c:pt>
                <c:pt idx="109">
                  <c:v>0</c:v>
                </c:pt>
                <c:pt idx="110">
                  <c:v>0</c:v>
                </c:pt>
                <c:pt idx="111">
                  <c:v>0</c:v>
                </c:pt>
                <c:pt idx="112">
                  <c:v>0</c:v>
                </c:pt>
                <c:pt idx="113">
                  <c:v>0</c:v>
                </c:pt>
                <c:pt idx="114">
                  <c:v>0</c:v>
                </c:pt>
                <c:pt idx="115">
                  <c:v>0</c:v>
                </c:pt>
                <c:pt idx="116">
                  <c:v>0</c:v>
                </c:pt>
                <c:pt idx="117">
                  <c:v>0</c:v>
                </c:pt>
                <c:pt idx="118">
                  <c:v>0</c:v>
                </c:pt>
                <c:pt idx="119">
                  <c:v>0</c:v>
                </c:pt>
                <c:pt idx="120">
                  <c:v>448050</c:v>
                </c:pt>
                <c:pt idx="121">
                  <c:v>0</c:v>
                </c:pt>
                <c:pt idx="122">
                  <c:v>0</c:v>
                </c:pt>
                <c:pt idx="123">
                  <c:v>248100</c:v>
                </c:pt>
                <c:pt idx="124">
                  <c:v>0</c:v>
                </c:pt>
                <c:pt idx="125">
                  <c:v>0</c:v>
                </c:pt>
                <c:pt idx="126">
                  <c:v>222480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6481755</c:v>
                </c:pt>
                <c:pt idx="141">
                  <c:v>0</c:v>
                </c:pt>
                <c:pt idx="142">
                  <c:v>0</c:v>
                </c:pt>
                <c:pt idx="143">
                  <c:v>0</c:v>
                </c:pt>
                <c:pt idx="144">
                  <c:v>1853433.5</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222480</c:v>
                </c:pt>
                <c:pt idx="163">
                  <c:v>0</c:v>
                </c:pt>
                <c:pt idx="164">
                  <c:v>248100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264480</c:v>
                </c:pt>
              </c:numCache>
            </c:numRef>
          </c:val>
        </c:ser>
        <c:dLbls>
          <c:showLegendKey val="0"/>
          <c:showVal val="0"/>
          <c:showCatName val="0"/>
          <c:showSerName val="0"/>
          <c:showPercent val="0"/>
          <c:showBubbleSize val="0"/>
        </c:dLbls>
        <c:gapWidth val="0"/>
        <c:axId val="176172544"/>
        <c:axId val="158423232"/>
      </c:barChart>
      <c:lineChart>
        <c:grouping val="standard"/>
        <c:varyColors val="0"/>
        <c:ser>
          <c:idx val="0"/>
          <c:order val="0"/>
          <c:tx>
            <c:v>Mx RESIDUAL - %</c:v>
          </c:tx>
          <c:spPr>
            <a:ln w="19050">
              <a:solidFill>
                <a:schemeClr val="tx1">
                  <a:lumMod val="65000"/>
                  <a:lumOff val="35000"/>
                </a:schemeClr>
              </a:solidFill>
            </a:ln>
          </c:spPr>
          <c:marker>
            <c:symbol val="none"/>
          </c:marker>
          <c:cat>
            <c:numRef>
              <c:f>'Mx FORECAST'!$D$68:$D$248</c:f>
              <c:numCache>
                <c:formatCode>#,##0;\(#,##0\);\-</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cat>
          <c:val>
            <c:numRef>
              <c:f>'Mx FORECAST'!$GE$5:$GE$185</c:f>
              <c:numCache>
                <c:formatCode>0%</c:formatCode>
                <c:ptCount val="181"/>
                <c:pt idx="0">
                  <c:v>1</c:v>
                </c:pt>
                <c:pt idx="1">
                  <c:v>0.99001046804004145</c:v>
                </c:pt>
                <c:pt idx="2">
                  <c:v>0.98002093608008278</c:v>
                </c:pt>
                <c:pt idx="3">
                  <c:v>0.97003140412012434</c:v>
                </c:pt>
                <c:pt idx="4">
                  <c:v>0.96004187216016568</c:v>
                </c:pt>
                <c:pt idx="5">
                  <c:v>0.95005234020020712</c:v>
                </c:pt>
                <c:pt idx="6">
                  <c:v>0.94006280824024857</c:v>
                </c:pt>
                <c:pt idx="7">
                  <c:v>0.93007327628028991</c:v>
                </c:pt>
                <c:pt idx="8">
                  <c:v>0.92008374432033146</c:v>
                </c:pt>
                <c:pt idx="9">
                  <c:v>0.91009421236037291</c:v>
                </c:pt>
                <c:pt idx="10">
                  <c:v>0.90010468040041425</c:v>
                </c:pt>
                <c:pt idx="11">
                  <c:v>0.89011514844045569</c:v>
                </c:pt>
                <c:pt idx="12">
                  <c:v>0.88012561648049703</c:v>
                </c:pt>
                <c:pt idx="13">
                  <c:v>0.87013608452053859</c:v>
                </c:pt>
                <c:pt idx="14">
                  <c:v>0.86014655256058004</c:v>
                </c:pt>
                <c:pt idx="15">
                  <c:v>0.85015702060062137</c:v>
                </c:pt>
                <c:pt idx="16">
                  <c:v>0.84016748864066293</c:v>
                </c:pt>
                <c:pt idx="17">
                  <c:v>0.83017795668070427</c:v>
                </c:pt>
                <c:pt idx="18">
                  <c:v>0.83529534652653614</c:v>
                </c:pt>
                <c:pt idx="19">
                  <c:v>0.82564461978856596</c:v>
                </c:pt>
                <c:pt idx="20">
                  <c:v>0.81552550763488474</c:v>
                </c:pt>
                <c:pt idx="21">
                  <c:v>0.80540639548120341</c:v>
                </c:pt>
                <c:pt idx="22">
                  <c:v>0.79528728332752219</c:v>
                </c:pt>
                <c:pt idx="23">
                  <c:v>0.78516817117384108</c:v>
                </c:pt>
                <c:pt idx="24">
                  <c:v>0.77504905902015975</c:v>
                </c:pt>
                <c:pt idx="25">
                  <c:v>0.76492994686647842</c:v>
                </c:pt>
                <c:pt idx="26">
                  <c:v>0.7548108347127972</c:v>
                </c:pt>
                <c:pt idx="27">
                  <c:v>0.74469172255911609</c:v>
                </c:pt>
                <c:pt idx="28">
                  <c:v>0.73457261040543476</c:v>
                </c:pt>
                <c:pt idx="29">
                  <c:v>0.72445349825175342</c:v>
                </c:pt>
                <c:pt idx="30">
                  <c:v>0.7143343860980722</c:v>
                </c:pt>
                <c:pt idx="31">
                  <c:v>0.7042152739443911</c:v>
                </c:pt>
                <c:pt idx="32">
                  <c:v>0.69409616179070976</c:v>
                </c:pt>
                <c:pt idx="33">
                  <c:v>0.68397704963702843</c:v>
                </c:pt>
                <c:pt idx="34">
                  <c:v>0.67385793748334721</c:v>
                </c:pt>
                <c:pt idx="35">
                  <c:v>0.66373882532966599</c:v>
                </c:pt>
                <c:pt idx="36">
                  <c:v>0.67152746388449469</c:v>
                </c:pt>
                <c:pt idx="37">
                  <c:v>0.66060116109311406</c:v>
                </c:pt>
                <c:pt idx="38">
                  <c:v>0.65061162913315551</c:v>
                </c:pt>
                <c:pt idx="39">
                  <c:v>0.64062209717319696</c:v>
                </c:pt>
                <c:pt idx="40">
                  <c:v>0.63063256521323829</c:v>
                </c:pt>
                <c:pt idx="41">
                  <c:v>0.64085893023287321</c:v>
                </c:pt>
                <c:pt idx="42">
                  <c:v>0.63086939827291455</c:v>
                </c:pt>
                <c:pt idx="43">
                  <c:v>0.620879866312956</c:v>
                </c:pt>
                <c:pt idx="44">
                  <c:v>0.61089033435299744</c:v>
                </c:pt>
                <c:pt idx="45">
                  <c:v>0.60090080239303878</c:v>
                </c:pt>
                <c:pt idx="46">
                  <c:v>0.59091127043308023</c:v>
                </c:pt>
                <c:pt idx="47">
                  <c:v>0.58092173847312167</c:v>
                </c:pt>
                <c:pt idx="48">
                  <c:v>0.57093220651316301</c:v>
                </c:pt>
                <c:pt idx="49">
                  <c:v>0.56094267455320446</c:v>
                </c:pt>
                <c:pt idx="50">
                  <c:v>0.5509531425932459</c:v>
                </c:pt>
                <c:pt idx="51">
                  <c:v>0.54096361063328724</c:v>
                </c:pt>
                <c:pt idx="52">
                  <c:v>0.53097407867332869</c:v>
                </c:pt>
                <c:pt idx="53">
                  <c:v>0.52098454671337013</c:v>
                </c:pt>
                <c:pt idx="54">
                  <c:v>0.52610193655920201</c:v>
                </c:pt>
                <c:pt idx="55">
                  <c:v>0.51733049089076133</c:v>
                </c:pt>
                <c:pt idx="56">
                  <c:v>0.50721137873708011</c:v>
                </c:pt>
                <c:pt idx="57">
                  <c:v>0.49709226658339883</c:v>
                </c:pt>
                <c:pt idx="58">
                  <c:v>0.48697315442971761</c:v>
                </c:pt>
                <c:pt idx="59">
                  <c:v>0.47685404227603634</c:v>
                </c:pt>
                <c:pt idx="60">
                  <c:v>0.46673493012235512</c:v>
                </c:pt>
                <c:pt idx="61">
                  <c:v>0.45661581796867384</c:v>
                </c:pt>
                <c:pt idx="62">
                  <c:v>0.44649670581499262</c:v>
                </c:pt>
                <c:pt idx="63">
                  <c:v>0.43637759366131135</c:v>
                </c:pt>
                <c:pt idx="64">
                  <c:v>0.42625848150763013</c:v>
                </c:pt>
                <c:pt idx="65">
                  <c:v>0.41613936935394885</c:v>
                </c:pt>
                <c:pt idx="66">
                  <c:v>0.40602025720026763</c:v>
                </c:pt>
                <c:pt idx="67">
                  <c:v>0.39590114504658636</c:v>
                </c:pt>
                <c:pt idx="68">
                  <c:v>0.38578203289290514</c:v>
                </c:pt>
                <c:pt idx="69">
                  <c:v>0.3756629207392238</c:v>
                </c:pt>
                <c:pt idx="70">
                  <c:v>0.36554380858554247</c:v>
                </c:pt>
                <c:pt idx="71">
                  <c:v>0.35542469643186114</c:v>
                </c:pt>
                <c:pt idx="72">
                  <c:v>0.41250758760622647</c:v>
                </c:pt>
                <c:pt idx="73">
                  <c:v>0.40624781873431887</c:v>
                </c:pt>
                <c:pt idx="74">
                  <c:v>0.39609674200815809</c:v>
                </c:pt>
                <c:pt idx="75">
                  <c:v>0.38594566528199725</c:v>
                </c:pt>
                <c:pt idx="76">
                  <c:v>0.37579458855583647</c:v>
                </c:pt>
                <c:pt idx="77">
                  <c:v>0.36564351182967564</c:v>
                </c:pt>
                <c:pt idx="78">
                  <c:v>0.35549243510351486</c:v>
                </c:pt>
                <c:pt idx="79">
                  <c:v>0.34534135837735402</c:v>
                </c:pt>
                <c:pt idx="80">
                  <c:v>0.33519028165119324</c:v>
                </c:pt>
                <c:pt idx="81">
                  <c:v>0.32503920492503241</c:v>
                </c:pt>
                <c:pt idx="82">
                  <c:v>0.33491301442688726</c:v>
                </c:pt>
                <c:pt idx="83">
                  <c:v>0.32476193770072648</c:v>
                </c:pt>
                <c:pt idx="84">
                  <c:v>0.31461086097456564</c:v>
                </c:pt>
                <c:pt idx="85">
                  <c:v>0.81532683639749448</c:v>
                </c:pt>
                <c:pt idx="86">
                  <c:v>0.80601983443313241</c:v>
                </c:pt>
                <c:pt idx="87">
                  <c:v>0.79327523839316461</c:v>
                </c:pt>
                <c:pt idx="88">
                  <c:v>0.78053064235319691</c:v>
                </c:pt>
                <c:pt idx="89">
                  <c:v>0.76778604631322922</c:v>
                </c:pt>
                <c:pt idx="90">
                  <c:v>0.77266420986766704</c:v>
                </c:pt>
                <c:pt idx="91">
                  <c:v>0.76053146333596666</c:v>
                </c:pt>
                <c:pt idx="92">
                  <c:v>0.74764491423504487</c:v>
                </c:pt>
                <c:pt idx="93">
                  <c:v>0.73475836513412307</c:v>
                </c:pt>
                <c:pt idx="94">
                  <c:v>0.72187181603320127</c:v>
                </c:pt>
                <c:pt idx="95">
                  <c:v>0.70898526693227948</c:v>
                </c:pt>
                <c:pt idx="96">
                  <c:v>0.69609871783135768</c:v>
                </c:pt>
                <c:pt idx="97">
                  <c:v>0.68321216873043589</c:v>
                </c:pt>
                <c:pt idx="98">
                  <c:v>0.67032561962951409</c:v>
                </c:pt>
                <c:pt idx="99">
                  <c:v>0.6574390705285923</c:v>
                </c:pt>
                <c:pt idx="100">
                  <c:v>0.6445525214276705</c:v>
                </c:pt>
                <c:pt idx="101">
                  <c:v>0.6316659723267487</c:v>
                </c:pt>
                <c:pt idx="102">
                  <c:v>0.61877942322582691</c:v>
                </c:pt>
                <c:pt idx="103">
                  <c:v>0.60589287412490511</c:v>
                </c:pt>
                <c:pt idx="104">
                  <c:v>0.59300632502398332</c:v>
                </c:pt>
                <c:pt idx="105">
                  <c:v>0.58011977592306141</c:v>
                </c:pt>
                <c:pt idx="106">
                  <c:v>0.56723322682213961</c:v>
                </c:pt>
                <c:pt idx="107">
                  <c:v>0.55434667772121782</c:v>
                </c:pt>
                <c:pt idx="108">
                  <c:v>0.56234026571488038</c:v>
                </c:pt>
                <c:pt idx="109">
                  <c:v>0.54813964470268484</c:v>
                </c:pt>
                <c:pt idx="110">
                  <c:v>0.53539504866271714</c:v>
                </c:pt>
                <c:pt idx="111">
                  <c:v>0.52265045262274945</c:v>
                </c:pt>
                <c:pt idx="112">
                  <c:v>0.50990585658278165</c:v>
                </c:pt>
                <c:pt idx="113">
                  <c:v>0.49716126054281395</c:v>
                </c:pt>
                <c:pt idx="114">
                  <c:v>0.48441666450284621</c:v>
                </c:pt>
                <c:pt idx="115">
                  <c:v>0.47167206846287846</c:v>
                </c:pt>
                <c:pt idx="116">
                  <c:v>0.45892747242291071</c:v>
                </c:pt>
                <c:pt idx="117">
                  <c:v>0.44618287638294302</c:v>
                </c:pt>
                <c:pt idx="118">
                  <c:v>0.43343828034297527</c:v>
                </c:pt>
                <c:pt idx="119">
                  <c:v>0.42069368430300752</c:v>
                </c:pt>
                <c:pt idx="120">
                  <c:v>0.44343936800177336</c:v>
                </c:pt>
                <c:pt idx="121">
                  <c:v>0.43069477196180561</c:v>
                </c:pt>
                <c:pt idx="122">
                  <c:v>0.41795017592183786</c:v>
                </c:pt>
                <c:pt idx="123">
                  <c:v>0.42485771335621408</c:v>
                </c:pt>
                <c:pt idx="124">
                  <c:v>0.4121131173162465</c:v>
                </c:pt>
                <c:pt idx="125">
                  <c:v>0.39936852127627892</c:v>
                </c:pt>
                <c:pt idx="126">
                  <c:v>0.40424668483071696</c:v>
                </c:pt>
                <c:pt idx="127">
                  <c:v>0.39333554127124282</c:v>
                </c:pt>
                <c:pt idx="128">
                  <c:v>0.38044899217032102</c:v>
                </c:pt>
                <c:pt idx="129">
                  <c:v>0.36756244306939923</c:v>
                </c:pt>
                <c:pt idx="130">
                  <c:v>0.35467589396847743</c:v>
                </c:pt>
                <c:pt idx="131">
                  <c:v>0.34178934486755563</c:v>
                </c:pt>
                <c:pt idx="132">
                  <c:v>0.32890279576663384</c:v>
                </c:pt>
                <c:pt idx="133">
                  <c:v>0.31601624666571204</c:v>
                </c:pt>
                <c:pt idx="134">
                  <c:v>0.30312969756479019</c:v>
                </c:pt>
                <c:pt idx="135">
                  <c:v>0.29024314846386839</c:v>
                </c:pt>
                <c:pt idx="136">
                  <c:v>0.2773565993629466</c:v>
                </c:pt>
                <c:pt idx="137">
                  <c:v>0.2644700502620248</c:v>
                </c:pt>
                <c:pt idx="138">
                  <c:v>0.25158350116110301</c:v>
                </c:pt>
                <c:pt idx="139">
                  <c:v>0.23869695206018121</c:v>
                </c:pt>
                <c:pt idx="140">
                  <c:v>0.7173024457820143</c:v>
                </c:pt>
                <c:pt idx="141">
                  <c:v>0.70441589668109239</c:v>
                </c:pt>
                <c:pt idx="142">
                  <c:v>0.69152934758017059</c:v>
                </c:pt>
                <c:pt idx="143">
                  <c:v>0.6786427984792488</c:v>
                </c:pt>
                <c:pt idx="144">
                  <c:v>0.81208090748364803</c:v>
                </c:pt>
                <c:pt idx="145">
                  <c:v>0.80077250698031599</c:v>
                </c:pt>
                <c:pt idx="146">
                  <c:v>0.7880894319983861</c:v>
                </c:pt>
                <c:pt idx="147">
                  <c:v>0.7754063570164561</c:v>
                </c:pt>
                <c:pt idx="148">
                  <c:v>0.76272328203452611</c:v>
                </c:pt>
                <c:pt idx="149">
                  <c:v>0.75004020705259622</c:v>
                </c:pt>
                <c:pt idx="150">
                  <c:v>0.73735713207066622</c:v>
                </c:pt>
                <c:pt idx="151">
                  <c:v>0.72467405708873622</c:v>
                </c:pt>
                <c:pt idx="152">
                  <c:v>0.71199098210680634</c:v>
                </c:pt>
                <c:pt idx="153">
                  <c:v>0.69930790712487634</c:v>
                </c:pt>
                <c:pt idx="154">
                  <c:v>0.68662483214294634</c:v>
                </c:pt>
                <c:pt idx="155">
                  <c:v>0.67394175716101645</c:v>
                </c:pt>
                <c:pt idx="156">
                  <c:v>0.66125868217908645</c:v>
                </c:pt>
                <c:pt idx="157">
                  <c:v>0.64857560719715646</c:v>
                </c:pt>
                <c:pt idx="158">
                  <c:v>0.63589253221522657</c:v>
                </c:pt>
                <c:pt idx="159">
                  <c:v>0.62320945723329657</c:v>
                </c:pt>
                <c:pt idx="160">
                  <c:v>0.61052638225136657</c:v>
                </c:pt>
                <c:pt idx="161">
                  <c:v>0.59784330726943669</c:v>
                </c:pt>
                <c:pt idx="162">
                  <c:v>0.60259607076477684</c:v>
                </c:pt>
                <c:pt idx="163">
                  <c:v>0.59107612712928259</c:v>
                </c:pt>
                <c:pt idx="164">
                  <c:v>0.59763229516715499</c:v>
                </c:pt>
                <c:pt idx="165">
                  <c:v>0.58480856601690523</c:v>
                </c:pt>
                <c:pt idx="166">
                  <c:v>0.57198483686665547</c:v>
                </c:pt>
                <c:pt idx="167">
                  <c:v>0.5591611077164057</c:v>
                </c:pt>
                <c:pt idx="168">
                  <c:v>0.54633737856615594</c:v>
                </c:pt>
                <c:pt idx="169">
                  <c:v>0.53351364941590607</c:v>
                </c:pt>
                <c:pt idx="170">
                  <c:v>0.5206899202656563</c:v>
                </c:pt>
                <c:pt idx="171">
                  <c:v>0.50786619111540654</c:v>
                </c:pt>
                <c:pt idx="172">
                  <c:v>0.49504246196515678</c:v>
                </c:pt>
                <c:pt idx="173">
                  <c:v>0.48221873281490701</c:v>
                </c:pt>
                <c:pt idx="174">
                  <c:v>0.46939500366465725</c:v>
                </c:pt>
                <c:pt idx="175">
                  <c:v>0.45657127451440743</c:v>
                </c:pt>
                <c:pt idx="176">
                  <c:v>0.44374754536415767</c:v>
                </c:pt>
                <c:pt idx="177">
                  <c:v>0.43092381621390791</c:v>
                </c:pt>
                <c:pt idx="178">
                  <c:v>0.41810008706365814</c:v>
                </c:pt>
                <c:pt idx="179">
                  <c:v>0.40527635791340832</c:v>
                </c:pt>
                <c:pt idx="180">
                  <c:v>0.41311202097724387</c:v>
                </c:pt>
              </c:numCache>
            </c:numRef>
          </c:val>
          <c:smooth val="0"/>
        </c:ser>
        <c:dLbls>
          <c:showLegendKey val="0"/>
          <c:showVal val="0"/>
          <c:showCatName val="0"/>
          <c:showSerName val="0"/>
          <c:showPercent val="0"/>
          <c:showBubbleSize val="0"/>
        </c:dLbls>
        <c:dropLines>
          <c:spPr>
            <a:ln w="25400">
              <a:solidFill>
                <a:schemeClr val="bg1">
                  <a:lumMod val="85000"/>
                </a:schemeClr>
              </a:solidFill>
            </a:ln>
          </c:spPr>
        </c:dropLines>
        <c:marker val="1"/>
        <c:smooth val="0"/>
        <c:axId val="176171520"/>
        <c:axId val="158417472"/>
      </c:lineChart>
      <c:catAx>
        <c:axId val="176171520"/>
        <c:scaling>
          <c:orientation val="minMax"/>
        </c:scaling>
        <c:delete val="0"/>
        <c:axPos val="b"/>
        <c:numFmt formatCode="0" sourceLinked="0"/>
        <c:majorTickMark val="none"/>
        <c:minorTickMark val="none"/>
        <c:tickLblPos val="low"/>
        <c:spPr>
          <a:noFill/>
        </c:spPr>
        <c:txPr>
          <a:bodyPr rot="0" vert="horz" anchor="t" anchorCtr="1"/>
          <a:lstStyle/>
          <a:p>
            <a:pPr>
              <a:defRPr sz="800">
                <a:solidFill>
                  <a:srgbClr val="595959"/>
                </a:solidFill>
              </a:defRPr>
            </a:pPr>
            <a:endParaRPr lang="en-US"/>
          </a:p>
        </c:txPr>
        <c:crossAx val="158417472"/>
        <c:crossesAt val="0.5"/>
        <c:auto val="1"/>
        <c:lblAlgn val="ctr"/>
        <c:lblOffset val="100"/>
        <c:tickLblSkip val="10"/>
        <c:tickMarkSkip val="1"/>
        <c:noMultiLvlLbl val="0"/>
      </c:catAx>
      <c:valAx>
        <c:axId val="158417472"/>
        <c:scaling>
          <c:orientation val="minMax"/>
          <c:max val="1"/>
        </c:scaling>
        <c:delete val="0"/>
        <c:axPos val="l"/>
        <c:majorGridlines>
          <c:spPr>
            <a:ln>
              <a:solidFill>
                <a:schemeClr val="bg1">
                  <a:lumMod val="75000"/>
                </a:schemeClr>
              </a:solidFill>
              <a:prstDash val="sysDash"/>
            </a:ln>
          </c:spPr>
        </c:majorGridlines>
        <c:title>
          <c:tx>
            <c:rich>
              <a:bodyPr rot="-5400000" vert="horz"/>
              <a:lstStyle/>
              <a:p>
                <a:pPr>
                  <a:defRPr sz="800" b="0">
                    <a:solidFill>
                      <a:srgbClr val="595959"/>
                    </a:solidFill>
                  </a:defRPr>
                </a:pPr>
                <a:r>
                  <a:rPr lang="en-US" sz="800" b="0">
                    <a:solidFill>
                      <a:srgbClr val="595959"/>
                    </a:solidFill>
                  </a:rPr>
                  <a:t>Maintenance  Status</a:t>
                </a:r>
                <a:r>
                  <a:rPr lang="en-US" sz="800" b="0" baseline="0">
                    <a:solidFill>
                      <a:srgbClr val="595959"/>
                    </a:solidFill>
                  </a:rPr>
                  <a:t> </a:t>
                </a:r>
                <a:r>
                  <a:rPr lang="en-US" sz="800" b="0">
                    <a:solidFill>
                      <a:srgbClr val="595959"/>
                    </a:solidFill>
                  </a:rPr>
                  <a:t>- %</a:t>
                </a:r>
              </a:p>
            </c:rich>
          </c:tx>
          <c:layout>
            <c:manualLayout>
              <c:xMode val="edge"/>
              <c:yMode val="edge"/>
              <c:x val="5.307377712249386E-4"/>
              <c:y val="0.20794605227279689"/>
            </c:manualLayout>
          </c:layout>
          <c:overlay val="0"/>
        </c:title>
        <c:numFmt formatCode="0%" sourceLinked="0"/>
        <c:majorTickMark val="none"/>
        <c:minorTickMark val="none"/>
        <c:tickLblPos val="nextTo"/>
        <c:spPr>
          <a:ln w="9525">
            <a:solidFill>
              <a:schemeClr val="bg1">
                <a:lumMod val="50000"/>
              </a:schemeClr>
            </a:solidFill>
          </a:ln>
        </c:spPr>
        <c:txPr>
          <a:bodyPr/>
          <a:lstStyle/>
          <a:p>
            <a:pPr>
              <a:defRPr sz="800">
                <a:solidFill>
                  <a:srgbClr val="595959"/>
                </a:solidFill>
              </a:defRPr>
            </a:pPr>
            <a:endParaRPr lang="en-US"/>
          </a:p>
        </c:txPr>
        <c:crossAx val="176171520"/>
        <c:crosses val="autoZero"/>
        <c:crossBetween val="between"/>
        <c:majorUnit val="0.1"/>
      </c:valAx>
      <c:valAx>
        <c:axId val="158423232"/>
        <c:scaling>
          <c:orientation val="minMax"/>
          <c:max val="12000000"/>
        </c:scaling>
        <c:delete val="0"/>
        <c:axPos val="r"/>
        <c:title>
          <c:tx>
            <c:rich>
              <a:bodyPr rot="-5400000" vert="horz"/>
              <a:lstStyle/>
              <a:p>
                <a:pPr>
                  <a:defRPr sz="800" b="0">
                    <a:solidFill>
                      <a:srgbClr val="595959"/>
                    </a:solidFill>
                  </a:defRPr>
                </a:pPr>
                <a:r>
                  <a:rPr lang="en-US" sz="800" b="0">
                    <a:solidFill>
                      <a:srgbClr val="595959"/>
                    </a:solidFill>
                  </a:rPr>
                  <a:t>Maintenance Costs - $M</a:t>
                </a:r>
              </a:p>
            </c:rich>
          </c:tx>
          <c:layout>
            <c:manualLayout>
              <c:xMode val="edge"/>
              <c:yMode val="edge"/>
              <c:x val="0.97149069432740154"/>
              <c:y val="0.22764762693089674"/>
            </c:manualLayout>
          </c:layout>
          <c:overlay val="0"/>
        </c:title>
        <c:numFmt formatCode="#,##0.0" sourceLinked="0"/>
        <c:majorTickMark val="none"/>
        <c:minorTickMark val="none"/>
        <c:tickLblPos val="nextTo"/>
        <c:spPr>
          <a:ln>
            <a:noFill/>
          </a:ln>
        </c:spPr>
        <c:txPr>
          <a:bodyPr/>
          <a:lstStyle/>
          <a:p>
            <a:pPr>
              <a:defRPr sz="800">
                <a:solidFill>
                  <a:srgbClr val="595959"/>
                </a:solidFill>
              </a:defRPr>
            </a:pPr>
            <a:endParaRPr lang="en-US"/>
          </a:p>
        </c:txPr>
        <c:crossAx val="176172544"/>
        <c:crosses val="max"/>
        <c:crossBetween val="between"/>
        <c:dispUnits>
          <c:builtInUnit val="millions"/>
        </c:dispUnits>
      </c:valAx>
      <c:catAx>
        <c:axId val="176172544"/>
        <c:scaling>
          <c:orientation val="minMax"/>
        </c:scaling>
        <c:delete val="1"/>
        <c:axPos val="b"/>
        <c:majorTickMark val="out"/>
        <c:minorTickMark val="none"/>
        <c:tickLblPos val="none"/>
        <c:crossAx val="158423232"/>
        <c:crosses val="autoZero"/>
        <c:auto val="1"/>
        <c:lblAlgn val="ctr"/>
        <c:lblOffset val="100"/>
        <c:noMultiLvlLbl val="0"/>
      </c:catAx>
      <c:spPr>
        <a:noFill/>
      </c:spPr>
    </c:plotArea>
    <c:legend>
      <c:legendPos val="t"/>
      <c:layout>
        <c:manualLayout>
          <c:xMode val="edge"/>
          <c:yMode val="edge"/>
          <c:x val="0.22567152924227951"/>
          <c:y val="9.8593418194526189E-2"/>
          <c:w val="0.58370779245444937"/>
          <c:h val="7.9731890872997924E-2"/>
        </c:manualLayout>
      </c:layout>
      <c:overlay val="0"/>
      <c:txPr>
        <a:bodyPr/>
        <a:lstStyle/>
        <a:p>
          <a:pPr>
            <a:defRPr sz="800" b="1">
              <a:solidFill>
                <a:schemeClr val="tx1">
                  <a:lumMod val="65000"/>
                  <a:lumOff val="35000"/>
                </a:schemeClr>
              </a:solidFill>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5131295658559E-2"/>
          <c:y val="0.10049405589007257"/>
          <c:w val="0.82324367897755746"/>
          <c:h val="0.79108743759971178"/>
        </c:manualLayout>
      </c:layout>
      <c:barChart>
        <c:barDir val="col"/>
        <c:grouping val="clustered"/>
        <c:varyColors val="0"/>
        <c:ser>
          <c:idx val="1"/>
          <c:order val="1"/>
          <c:tx>
            <c:strRef>
              <c:f>'Mx FORECAST'!$GH$3</c:f>
              <c:strCache>
                <c:ptCount val="1"/>
                <c:pt idx="0">
                  <c:v>GEAR</c:v>
                </c:pt>
              </c:strCache>
            </c:strRef>
          </c:tx>
          <c:spPr>
            <a:ln w="0">
              <a:noFill/>
            </a:ln>
          </c:spPr>
          <c:invertIfNegative val="0"/>
          <c:val>
            <c:numRef>
              <c:f>'Mx FORECAST'!$GH$5:$GH$185</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448050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ser>
        <c:dLbls>
          <c:showLegendKey val="0"/>
          <c:showVal val="0"/>
          <c:showCatName val="0"/>
          <c:showSerName val="0"/>
          <c:showPercent val="0"/>
          <c:showBubbleSize val="0"/>
        </c:dLbls>
        <c:gapWidth val="0"/>
        <c:axId val="178479616"/>
        <c:axId val="159720000"/>
      </c:barChart>
      <c:lineChart>
        <c:grouping val="standard"/>
        <c:varyColors val="0"/>
        <c:ser>
          <c:idx val="0"/>
          <c:order val="0"/>
          <c:tx>
            <c:strRef>
              <c:f>'Mx FORECAST'!$GH$3</c:f>
              <c:strCache>
                <c:ptCount val="1"/>
                <c:pt idx="0">
                  <c:v>GEAR</c:v>
                </c:pt>
              </c:strCache>
            </c:strRef>
          </c:tx>
          <c:spPr>
            <a:ln w="19050">
              <a:solidFill>
                <a:schemeClr val="tx1">
                  <a:lumMod val="50000"/>
                  <a:lumOff val="50000"/>
                </a:schemeClr>
              </a:solidFill>
            </a:ln>
          </c:spPr>
          <c:marker>
            <c:symbol val="none"/>
          </c:marker>
          <c:cat>
            <c:numRef>
              <c:f>'Mx FORECAST'!$D$68:$D$248</c:f>
              <c:numCache>
                <c:formatCode>#,##0;\(#,##0\);\-</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cat>
          <c:val>
            <c:numRef>
              <c:f>'Mx FORECAST'!$GI$5:$GI$185</c:f>
              <c:numCache>
                <c:formatCode>0%</c:formatCode>
                <c:ptCount val="181"/>
                <c:pt idx="0">
                  <c:v>1</c:v>
                </c:pt>
                <c:pt idx="1">
                  <c:v>0.9916666666666667</c:v>
                </c:pt>
                <c:pt idx="2">
                  <c:v>0.98333333333333328</c:v>
                </c:pt>
                <c:pt idx="3">
                  <c:v>0.97499999999999998</c:v>
                </c:pt>
                <c:pt idx="4">
                  <c:v>0.96666666666666667</c:v>
                </c:pt>
                <c:pt idx="5">
                  <c:v>0.95833333333333337</c:v>
                </c:pt>
                <c:pt idx="6">
                  <c:v>0.95</c:v>
                </c:pt>
                <c:pt idx="7">
                  <c:v>0.94166666666666665</c:v>
                </c:pt>
                <c:pt idx="8">
                  <c:v>0.93333333333333335</c:v>
                </c:pt>
                <c:pt idx="9">
                  <c:v>0.92500000000000004</c:v>
                </c:pt>
                <c:pt idx="10">
                  <c:v>0.91666666666666663</c:v>
                </c:pt>
                <c:pt idx="11">
                  <c:v>0.90833333333333333</c:v>
                </c:pt>
                <c:pt idx="12">
                  <c:v>0.9</c:v>
                </c:pt>
                <c:pt idx="13">
                  <c:v>0.89166666666666672</c:v>
                </c:pt>
                <c:pt idx="14">
                  <c:v>0.8833333333333333</c:v>
                </c:pt>
                <c:pt idx="15">
                  <c:v>0.875</c:v>
                </c:pt>
                <c:pt idx="16">
                  <c:v>0.8666666666666667</c:v>
                </c:pt>
                <c:pt idx="17">
                  <c:v>0.85833333333333328</c:v>
                </c:pt>
                <c:pt idx="18">
                  <c:v>0.85</c:v>
                </c:pt>
                <c:pt idx="19">
                  <c:v>0.84166666666666667</c:v>
                </c:pt>
                <c:pt idx="20">
                  <c:v>0.83333333333333337</c:v>
                </c:pt>
                <c:pt idx="21">
                  <c:v>0.82499999999999996</c:v>
                </c:pt>
                <c:pt idx="22">
                  <c:v>0.81666666666666665</c:v>
                </c:pt>
                <c:pt idx="23">
                  <c:v>0.80833333333333335</c:v>
                </c:pt>
                <c:pt idx="24">
                  <c:v>0.8</c:v>
                </c:pt>
                <c:pt idx="25">
                  <c:v>0.79166666666666663</c:v>
                </c:pt>
                <c:pt idx="26">
                  <c:v>0.78333333333333333</c:v>
                </c:pt>
                <c:pt idx="27">
                  <c:v>0.77500000000000002</c:v>
                </c:pt>
                <c:pt idx="28">
                  <c:v>0.76666666666666672</c:v>
                </c:pt>
                <c:pt idx="29">
                  <c:v>0.7583333333333333</c:v>
                </c:pt>
                <c:pt idx="30">
                  <c:v>0.75</c:v>
                </c:pt>
                <c:pt idx="31">
                  <c:v>0.7416666666666667</c:v>
                </c:pt>
                <c:pt idx="32">
                  <c:v>0.73333333333333328</c:v>
                </c:pt>
                <c:pt idx="33">
                  <c:v>0.72499999999999998</c:v>
                </c:pt>
                <c:pt idx="34">
                  <c:v>0.71666666666666667</c:v>
                </c:pt>
                <c:pt idx="35">
                  <c:v>0.70833333333333337</c:v>
                </c:pt>
                <c:pt idx="36">
                  <c:v>0.7</c:v>
                </c:pt>
                <c:pt idx="37">
                  <c:v>0.69166666666666665</c:v>
                </c:pt>
                <c:pt idx="38">
                  <c:v>0.68333333333333335</c:v>
                </c:pt>
                <c:pt idx="39">
                  <c:v>0.67500000000000004</c:v>
                </c:pt>
                <c:pt idx="40">
                  <c:v>0.66666666666666663</c:v>
                </c:pt>
                <c:pt idx="41">
                  <c:v>0.65833333333333333</c:v>
                </c:pt>
                <c:pt idx="42">
                  <c:v>0.65</c:v>
                </c:pt>
                <c:pt idx="43">
                  <c:v>0.64166666666666672</c:v>
                </c:pt>
                <c:pt idx="44">
                  <c:v>0.6333333333333333</c:v>
                </c:pt>
                <c:pt idx="45">
                  <c:v>0.625</c:v>
                </c:pt>
                <c:pt idx="46">
                  <c:v>0.6166666666666667</c:v>
                </c:pt>
                <c:pt idx="47">
                  <c:v>0.60833333333333328</c:v>
                </c:pt>
                <c:pt idx="48">
                  <c:v>0.6</c:v>
                </c:pt>
                <c:pt idx="49">
                  <c:v>0.59166666666666667</c:v>
                </c:pt>
                <c:pt idx="50">
                  <c:v>0.58333333333333337</c:v>
                </c:pt>
                <c:pt idx="51">
                  <c:v>0.57499999999999996</c:v>
                </c:pt>
                <c:pt idx="52">
                  <c:v>0.56666666666666665</c:v>
                </c:pt>
                <c:pt idx="53">
                  <c:v>0.55833333333333335</c:v>
                </c:pt>
                <c:pt idx="54">
                  <c:v>0.55000000000000004</c:v>
                </c:pt>
                <c:pt idx="55">
                  <c:v>0.54166666666666663</c:v>
                </c:pt>
                <c:pt idx="56">
                  <c:v>0.53333333333333333</c:v>
                </c:pt>
                <c:pt idx="57">
                  <c:v>0.52500000000000002</c:v>
                </c:pt>
                <c:pt idx="58">
                  <c:v>0.51666666666666672</c:v>
                </c:pt>
                <c:pt idx="59">
                  <c:v>0.5083333333333333</c:v>
                </c:pt>
                <c:pt idx="60">
                  <c:v>0.5</c:v>
                </c:pt>
                <c:pt idx="61">
                  <c:v>0.49166666666666664</c:v>
                </c:pt>
                <c:pt idx="62">
                  <c:v>0.48333333333333334</c:v>
                </c:pt>
                <c:pt idx="63">
                  <c:v>0.47499999999999998</c:v>
                </c:pt>
                <c:pt idx="64">
                  <c:v>0.46666666666666667</c:v>
                </c:pt>
                <c:pt idx="65">
                  <c:v>0.45833333333333331</c:v>
                </c:pt>
                <c:pt idx="66">
                  <c:v>0.45</c:v>
                </c:pt>
                <c:pt idx="67">
                  <c:v>0.44166666666666665</c:v>
                </c:pt>
                <c:pt idx="68">
                  <c:v>0.43333333333333335</c:v>
                </c:pt>
                <c:pt idx="69">
                  <c:v>0.42499999999999999</c:v>
                </c:pt>
                <c:pt idx="70">
                  <c:v>0.41666666666666669</c:v>
                </c:pt>
                <c:pt idx="71">
                  <c:v>0.40833333333333333</c:v>
                </c:pt>
                <c:pt idx="72">
                  <c:v>0.4</c:v>
                </c:pt>
                <c:pt idx="73">
                  <c:v>0.39166666666666666</c:v>
                </c:pt>
                <c:pt idx="74">
                  <c:v>0.38333333333333336</c:v>
                </c:pt>
                <c:pt idx="75">
                  <c:v>0.375</c:v>
                </c:pt>
                <c:pt idx="76">
                  <c:v>0.36666666666666664</c:v>
                </c:pt>
                <c:pt idx="77">
                  <c:v>0.35833333333333334</c:v>
                </c:pt>
                <c:pt idx="78">
                  <c:v>0.35</c:v>
                </c:pt>
                <c:pt idx="79">
                  <c:v>0.34166666666666667</c:v>
                </c:pt>
                <c:pt idx="80">
                  <c:v>0.33333333333333331</c:v>
                </c:pt>
                <c:pt idx="81">
                  <c:v>0.32500000000000001</c:v>
                </c:pt>
                <c:pt idx="82">
                  <c:v>0.31666666666666665</c:v>
                </c:pt>
                <c:pt idx="83">
                  <c:v>0.30833333333333335</c:v>
                </c:pt>
                <c:pt idx="84">
                  <c:v>0.3</c:v>
                </c:pt>
                <c:pt idx="85">
                  <c:v>0.29166666666666669</c:v>
                </c:pt>
                <c:pt idx="86">
                  <c:v>0.28333333333333333</c:v>
                </c:pt>
                <c:pt idx="87">
                  <c:v>0.27500000000000002</c:v>
                </c:pt>
                <c:pt idx="88">
                  <c:v>0.26666666666666666</c:v>
                </c:pt>
                <c:pt idx="89">
                  <c:v>0.25833333333333336</c:v>
                </c:pt>
                <c:pt idx="90">
                  <c:v>0.25</c:v>
                </c:pt>
                <c:pt idx="91">
                  <c:v>0.24166666666666667</c:v>
                </c:pt>
                <c:pt idx="92">
                  <c:v>0.23333333333333334</c:v>
                </c:pt>
                <c:pt idx="93">
                  <c:v>0.22500000000000001</c:v>
                </c:pt>
                <c:pt idx="94">
                  <c:v>0.21666666666666667</c:v>
                </c:pt>
                <c:pt idx="95">
                  <c:v>0.20833333333333334</c:v>
                </c:pt>
                <c:pt idx="96">
                  <c:v>0.2</c:v>
                </c:pt>
                <c:pt idx="97">
                  <c:v>0.19166666666666668</c:v>
                </c:pt>
                <c:pt idx="98">
                  <c:v>0.18333333333333332</c:v>
                </c:pt>
                <c:pt idx="99">
                  <c:v>0.17499999999999999</c:v>
                </c:pt>
                <c:pt idx="100">
                  <c:v>0.16666666666666666</c:v>
                </c:pt>
                <c:pt idx="101">
                  <c:v>0.15833333333333333</c:v>
                </c:pt>
                <c:pt idx="102">
                  <c:v>0.15</c:v>
                </c:pt>
                <c:pt idx="103">
                  <c:v>0.14166666666666666</c:v>
                </c:pt>
                <c:pt idx="104">
                  <c:v>0.13333333333333333</c:v>
                </c:pt>
                <c:pt idx="105">
                  <c:v>0.125</c:v>
                </c:pt>
                <c:pt idx="106">
                  <c:v>0.11666666666666667</c:v>
                </c:pt>
                <c:pt idx="107">
                  <c:v>0.10833333333333334</c:v>
                </c:pt>
                <c:pt idx="108">
                  <c:v>0.1</c:v>
                </c:pt>
                <c:pt idx="109">
                  <c:v>9.166666666666666E-2</c:v>
                </c:pt>
                <c:pt idx="110">
                  <c:v>8.3333333333333329E-2</c:v>
                </c:pt>
                <c:pt idx="111">
                  <c:v>7.4999999999999997E-2</c:v>
                </c:pt>
                <c:pt idx="112">
                  <c:v>6.6666666666666666E-2</c:v>
                </c:pt>
                <c:pt idx="113">
                  <c:v>5.8333333333333334E-2</c:v>
                </c:pt>
                <c:pt idx="114">
                  <c:v>0.05</c:v>
                </c:pt>
                <c:pt idx="115">
                  <c:v>4.1666666666666664E-2</c:v>
                </c:pt>
                <c:pt idx="116">
                  <c:v>3.3333333333333333E-2</c:v>
                </c:pt>
                <c:pt idx="117">
                  <c:v>2.5000000000000001E-2</c:v>
                </c:pt>
                <c:pt idx="118">
                  <c:v>1.6666666666666666E-2</c:v>
                </c:pt>
                <c:pt idx="119">
                  <c:v>8.3333333333333332E-3</c:v>
                </c:pt>
                <c:pt idx="120">
                  <c:v>1</c:v>
                </c:pt>
                <c:pt idx="121">
                  <c:v>0.9916666666666667</c:v>
                </c:pt>
                <c:pt idx="122">
                  <c:v>0.98333333333333328</c:v>
                </c:pt>
                <c:pt idx="123">
                  <c:v>0.97499999999999998</c:v>
                </c:pt>
                <c:pt idx="124">
                  <c:v>0.96666666666666667</c:v>
                </c:pt>
                <c:pt idx="125">
                  <c:v>0.95833333333333337</c:v>
                </c:pt>
                <c:pt idx="126">
                  <c:v>0.95</c:v>
                </c:pt>
                <c:pt idx="127">
                  <c:v>0.94166666666666665</c:v>
                </c:pt>
                <c:pt idx="128">
                  <c:v>0.93333333333333335</c:v>
                </c:pt>
                <c:pt idx="129">
                  <c:v>0.92500000000000004</c:v>
                </c:pt>
                <c:pt idx="130">
                  <c:v>0.91666666666666663</c:v>
                </c:pt>
                <c:pt idx="131">
                  <c:v>0.90833333333333333</c:v>
                </c:pt>
                <c:pt idx="132">
                  <c:v>0.9</c:v>
                </c:pt>
                <c:pt idx="133">
                  <c:v>0.89166666666666672</c:v>
                </c:pt>
                <c:pt idx="134">
                  <c:v>0.8833333333333333</c:v>
                </c:pt>
                <c:pt idx="135">
                  <c:v>0.875</c:v>
                </c:pt>
                <c:pt idx="136">
                  <c:v>0.8666666666666667</c:v>
                </c:pt>
                <c:pt idx="137">
                  <c:v>0.85833333333333328</c:v>
                </c:pt>
                <c:pt idx="138">
                  <c:v>0.85</c:v>
                </c:pt>
                <c:pt idx="139">
                  <c:v>0.84166666666666667</c:v>
                </c:pt>
                <c:pt idx="140">
                  <c:v>0.83333333333333337</c:v>
                </c:pt>
                <c:pt idx="141">
                  <c:v>0.82499999999999996</c:v>
                </c:pt>
                <c:pt idx="142">
                  <c:v>0.81666666666666665</c:v>
                </c:pt>
                <c:pt idx="143">
                  <c:v>0.80833333333333335</c:v>
                </c:pt>
                <c:pt idx="144">
                  <c:v>0.8</c:v>
                </c:pt>
                <c:pt idx="145">
                  <c:v>0.79166666666666663</c:v>
                </c:pt>
                <c:pt idx="146">
                  <c:v>0.78333333333333333</c:v>
                </c:pt>
                <c:pt idx="147">
                  <c:v>0.77500000000000002</c:v>
                </c:pt>
                <c:pt idx="148">
                  <c:v>0.76666666666666672</c:v>
                </c:pt>
                <c:pt idx="149">
                  <c:v>0.7583333333333333</c:v>
                </c:pt>
                <c:pt idx="150">
                  <c:v>0.75</c:v>
                </c:pt>
                <c:pt idx="151">
                  <c:v>0.7416666666666667</c:v>
                </c:pt>
                <c:pt idx="152">
                  <c:v>0.73333333333333328</c:v>
                </c:pt>
                <c:pt idx="153">
                  <c:v>0.72499999999999998</c:v>
                </c:pt>
                <c:pt idx="154">
                  <c:v>0.71666666666666667</c:v>
                </c:pt>
                <c:pt idx="155">
                  <c:v>0.70833333333333337</c:v>
                </c:pt>
                <c:pt idx="156">
                  <c:v>0.7</c:v>
                </c:pt>
                <c:pt idx="157">
                  <c:v>0.69166666666666665</c:v>
                </c:pt>
                <c:pt idx="158">
                  <c:v>0.68333333333333335</c:v>
                </c:pt>
                <c:pt idx="159">
                  <c:v>0.67500000000000004</c:v>
                </c:pt>
                <c:pt idx="160">
                  <c:v>0.66666666666666663</c:v>
                </c:pt>
                <c:pt idx="161">
                  <c:v>0.65833333333333333</c:v>
                </c:pt>
                <c:pt idx="162">
                  <c:v>0.65</c:v>
                </c:pt>
                <c:pt idx="163">
                  <c:v>0.64166666666666672</c:v>
                </c:pt>
                <c:pt idx="164">
                  <c:v>0.6333333333333333</c:v>
                </c:pt>
                <c:pt idx="165">
                  <c:v>0.625</c:v>
                </c:pt>
                <c:pt idx="166">
                  <c:v>0.6166666666666667</c:v>
                </c:pt>
                <c:pt idx="167">
                  <c:v>0.60833333333333328</c:v>
                </c:pt>
                <c:pt idx="168">
                  <c:v>0.6</c:v>
                </c:pt>
                <c:pt idx="169">
                  <c:v>0.59166666666666667</c:v>
                </c:pt>
                <c:pt idx="170">
                  <c:v>0.58333333333333337</c:v>
                </c:pt>
                <c:pt idx="171">
                  <c:v>0.57499999999999996</c:v>
                </c:pt>
                <c:pt idx="172">
                  <c:v>0.56666666666666665</c:v>
                </c:pt>
                <c:pt idx="173">
                  <c:v>0.55833333333333335</c:v>
                </c:pt>
                <c:pt idx="174">
                  <c:v>0.55000000000000004</c:v>
                </c:pt>
                <c:pt idx="175">
                  <c:v>0.54166666666666663</c:v>
                </c:pt>
                <c:pt idx="176">
                  <c:v>0.53333333333333333</c:v>
                </c:pt>
                <c:pt idx="177">
                  <c:v>0.52500000000000002</c:v>
                </c:pt>
                <c:pt idx="178">
                  <c:v>0.51666666666666672</c:v>
                </c:pt>
                <c:pt idx="179">
                  <c:v>0.5083333333333333</c:v>
                </c:pt>
                <c:pt idx="180">
                  <c:v>0.5</c:v>
                </c:pt>
              </c:numCache>
            </c:numRef>
          </c:val>
          <c:smooth val="0"/>
        </c:ser>
        <c:dLbls>
          <c:showLegendKey val="0"/>
          <c:showVal val="0"/>
          <c:showCatName val="0"/>
          <c:showSerName val="0"/>
          <c:showPercent val="0"/>
          <c:showBubbleSize val="0"/>
        </c:dLbls>
        <c:dropLines>
          <c:spPr>
            <a:ln>
              <a:solidFill>
                <a:schemeClr val="bg1">
                  <a:lumMod val="85000"/>
                </a:schemeClr>
              </a:solidFill>
            </a:ln>
          </c:spPr>
        </c:dropLines>
        <c:marker val="1"/>
        <c:smooth val="0"/>
        <c:axId val="178479104"/>
        <c:axId val="158424384"/>
      </c:lineChart>
      <c:catAx>
        <c:axId val="178479104"/>
        <c:scaling>
          <c:orientation val="minMax"/>
        </c:scaling>
        <c:delete val="0"/>
        <c:axPos val="b"/>
        <c:numFmt formatCode="0" sourceLinked="0"/>
        <c:majorTickMark val="none"/>
        <c:minorTickMark val="none"/>
        <c:tickLblPos val="low"/>
        <c:spPr>
          <a:noFill/>
        </c:spPr>
        <c:txPr>
          <a:bodyPr rot="0" vert="horz" anchor="t" anchorCtr="1"/>
          <a:lstStyle/>
          <a:p>
            <a:pPr>
              <a:defRPr sz="800">
                <a:solidFill>
                  <a:srgbClr val="595959"/>
                </a:solidFill>
              </a:defRPr>
            </a:pPr>
            <a:endParaRPr lang="en-US"/>
          </a:p>
        </c:txPr>
        <c:crossAx val="158424384"/>
        <c:crossesAt val="0.5"/>
        <c:auto val="1"/>
        <c:lblAlgn val="ctr"/>
        <c:lblOffset val="100"/>
        <c:tickLblSkip val="24"/>
        <c:tickMarkSkip val="1"/>
        <c:noMultiLvlLbl val="0"/>
      </c:catAx>
      <c:valAx>
        <c:axId val="158424384"/>
        <c:scaling>
          <c:orientation val="minMax"/>
          <c:max val="1"/>
          <c:min val="0"/>
        </c:scaling>
        <c:delete val="0"/>
        <c:axPos val="l"/>
        <c:majorGridlines>
          <c:spPr>
            <a:ln>
              <a:solidFill>
                <a:schemeClr val="bg1">
                  <a:lumMod val="75000"/>
                </a:schemeClr>
              </a:solidFill>
              <a:prstDash val="sysDash"/>
            </a:ln>
          </c:spPr>
        </c:majorGridlines>
        <c:numFmt formatCode="0%" sourceLinked="0"/>
        <c:majorTickMark val="none"/>
        <c:minorTickMark val="none"/>
        <c:tickLblPos val="nextTo"/>
        <c:spPr>
          <a:ln w="9525">
            <a:solidFill>
              <a:schemeClr val="bg1">
                <a:lumMod val="50000"/>
              </a:schemeClr>
            </a:solidFill>
          </a:ln>
        </c:spPr>
        <c:txPr>
          <a:bodyPr/>
          <a:lstStyle/>
          <a:p>
            <a:pPr>
              <a:defRPr sz="800">
                <a:solidFill>
                  <a:srgbClr val="595959"/>
                </a:solidFill>
              </a:defRPr>
            </a:pPr>
            <a:endParaRPr lang="en-US"/>
          </a:p>
        </c:txPr>
        <c:crossAx val="178479104"/>
        <c:crosses val="autoZero"/>
        <c:crossBetween val="between"/>
        <c:majorUnit val="0.25"/>
      </c:valAx>
      <c:valAx>
        <c:axId val="159720000"/>
        <c:scaling>
          <c:orientation val="minMax"/>
        </c:scaling>
        <c:delete val="0"/>
        <c:axPos val="r"/>
        <c:numFmt formatCode="#,##0.0" sourceLinked="0"/>
        <c:majorTickMark val="none"/>
        <c:minorTickMark val="none"/>
        <c:tickLblPos val="nextTo"/>
        <c:spPr>
          <a:ln>
            <a:noFill/>
          </a:ln>
        </c:spPr>
        <c:txPr>
          <a:bodyPr/>
          <a:lstStyle/>
          <a:p>
            <a:pPr>
              <a:defRPr sz="800">
                <a:solidFill>
                  <a:srgbClr val="595959"/>
                </a:solidFill>
              </a:defRPr>
            </a:pPr>
            <a:endParaRPr lang="en-US"/>
          </a:p>
        </c:txPr>
        <c:crossAx val="178479616"/>
        <c:crosses val="max"/>
        <c:crossBetween val="between"/>
        <c:majorUnit val="200000"/>
        <c:dispUnits>
          <c:builtInUnit val="millions"/>
        </c:dispUnits>
      </c:valAx>
      <c:catAx>
        <c:axId val="178479616"/>
        <c:scaling>
          <c:orientation val="minMax"/>
        </c:scaling>
        <c:delete val="1"/>
        <c:axPos val="b"/>
        <c:majorTickMark val="out"/>
        <c:minorTickMark val="none"/>
        <c:tickLblPos val="none"/>
        <c:crossAx val="159720000"/>
        <c:crosses val="autoZero"/>
        <c:auto val="1"/>
        <c:lblAlgn val="ctr"/>
        <c:lblOffset val="100"/>
        <c:noMultiLvlLbl val="0"/>
      </c:cat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5131295658559E-2"/>
          <c:y val="0.10049405589007257"/>
          <c:w val="0.82324367897755746"/>
          <c:h val="0.79108743759971178"/>
        </c:manualLayout>
      </c:layout>
      <c:barChart>
        <c:barDir val="col"/>
        <c:grouping val="clustered"/>
        <c:varyColors val="0"/>
        <c:ser>
          <c:idx val="1"/>
          <c:order val="1"/>
          <c:tx>
            <c:strRef>
              <c:f>'Mx FORECAST'!$GF$3</c:f>
              <c:strCache>
                <c:ptCount val="1"/>
                <c:pt idx="0">
                  <c:v>AIRFRAME</c:v>
                </c:pt>
              </c:strCache>
            </c:strRef>
          </c:tx>
          <c:spPr>
            <a:ln w="0">
              <a:noFill/>
            </a:ln>
          </c:spPr>
          <c:invertIfNegative val="0"/>
          <c:val>
            <c:numRef>
              <c:f>'Mx FORECAST'!$GF$5:$GF$185</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185400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220400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185400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827090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222480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264480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222480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1853433.5</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222480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264480</c:v>
                </c:pt>
              </c:numCache>
            </c:numRef>
          </c:val>
        </c:ser>
        <c:dLbls>
          <c:showLegendKey val="0"/>
          <c:showVal val="0"/>
          <c:showCatName val="0"/>
          <c:showSerName val="0"/>
          <c:showPercent val="0"/>
          <c:showBubbleSize val="0"/>
        </c:dLbls>
        <c:gapWidth val="0"/>
        <c:axId val="178481152"/>
        <c:axId val="159723456"/>
      </c:barChart>
      <c:lineChart>
        <c:grouping val="standard"/>
        <c:varyColors val="0"/>
        <c:ser>
          <c:idx val="0"/>
          <c:order val="0"/>
          <c:tx>
            <c:strRef>
              <c:f>'Mx FORECAST'!$GF$3</c:f>
              <c:strCache>
                <c:ptCount val="1"/>
                <c:pt idx="0">
                  <c:v>AIRFRAME</c:v>
                </c:pt>
              </c:strCache>
            </c:strRef>
          </c:tx>
          <c:spPr>
            <a:ln w="19050">
              <a:solidFill>
                <a:schemeClr val="tx1">
                  <a:lumMod val="50000"/>
                  <a:lumOff val="50000"/>
                </a:schemeClr>
              </a:solidFill>
            </a:ln>
          </c:spPr>
          <c:marker>
            <c:symbol val="none"/>
          </c:marker>
          <c:cat>
            <c:numRef>
              <c:f>'Mx FORECAST'!$D$68:$D$248</c:f>
              <c:numCache>
                <c:formatCode>#,##0;\(#,##0\);\-</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cat>
          <c:val>
            <c:numRef>
              <c:f>'Mx FORECAST'!$GG$5:$GG$185</c:f>
              <c:numCache>
                <c:formatCode>0%</c:formatCode>
                <c:ptCount val="181"/>
                <c:pt idx="0">
                  <c:v>1</c:v>
                </c:pt>
                <c:pt idx="1">
                  <c:v>0.98524992573444203</c:v>
                </c:pt>
                <c:pt idx="2">
                  <c:v>0.97049985146888429</c:v>
                </c:pt>
                <c:pt idx="3">
                  <c:v>0.95574977720332632</c:v>
                </c:pt>
                <c:pt idx="4">
                  <c:v>0.94099970293776836</c:v>
                </c:pt>
                <c:pt idx="5">
                  <c:v>0.92624962867221061</c:v>
                </c:pt>
                <c:pt idx="6">
                  <c:v>0.91149955440665265</c:v>
                </c:pt>
                <c:pt idx="7">
                  <c:v>0.89674948014109468</c:v>
                </c:pt>
                <c:pt idx="8">
                  <c:v>0.88199940587553693</c:v>
                </c:pt>
                <c:pt idx="9">
                  <c:v>0.86724933160997897</c:v>
                </c:pt>
                <c:pt idx="10">
                  <c:v>0.85249925734442111</c:v>
                </c:pt>
                <c:pt idx="11">
                  <c:v>0.83774918307886326</c:v>
                </c:pt>
                <c:pt idx="12">
                  <c:v>0.82299910881330529</c:v>
                </c:pt>
                <c:pt idx="13">
                  <c:v>0.80824903454774744</c:v>
                </c:pt>
                <c:pt idx="14">
                  <c:v>0.79349896028218958</c:v>
                </c:pt>
                <c:pt idx="15">
                  <c:v>0.7787488860166315</c:v>
                </c:pt>
                <c:pt idx="16">
                  <c:v>0.76399881175107365</c:v>
                </c:pt>
                <c:pt idx="17">
                  <c:v>0.7492487374855159</c:v>
                </c:pt>
                <c:pt idx="18">
                  <c:v>0.84391986402025532</c:v>
                </c:pt>
                <c:pt idx="19">
                  <c:v>0.83150278553590162</c:v>
                </c:pt>
                <c:pt idx="20">
                  <c:v>0.81592686610988074</c:v>
                </c:pt>
                <c:pt idx="21">
                  <c:v>0.80035094668385987</c:v>
                </c:pt>
                <c:pt idx="22">
                  <c:v>0.78477502725783899</c:v>
                </c:pt>
                <c:pt idx="23">
                  <c:v>0.769199107831818</c:v>
                </c:pt>
                <c:pt idx="24">
                  <c:v>0.75362318840579723</c:v>
                </c:pt>
                <c:pt idx="25">
                  <c:v>0.73804726897977635</c:v>
                </c:pt>
                <c:pt idx="26">
                  <c:v>0.72247134955375536</c:v>
                </c:pt>
                <c:pt idx="27">
                  <c:v>0.70689543012773437</c:v>
                </c:pt>
                <c:pt idx="28">
                  <c:v>0.69131951070171349</c:v>
                </c:pt>
                <c:pt idx="29">
                  <c:v>0.67574359127569261</c:v>
                </c:pt>
                <c:pt idx="30">
                  <c:v>0.66016767184967173</c:v>
                </c:pt>
                <c:pt idx="31">
                  <c:v>0.64459175242365085</c:v>
                </c:pt>
                <c:pt idx="32">
                  <c:v>0.62901583299762975</c:v>
                </c:pt>
                <c:pt idx="33">
                  <c:v>0.61343991357160899</c:v>
                </c:pt>
                <c:pt idx="34">
                  <c:v>0.59786399414558811</c:v>
                </c:pt>
                <c:pt idx="35">
                  <c:v>0.58228807471956712</c:v>
                </c:pt>
                <c:pt idx="36">
                  <c:v>0.69415740992384511</c:v>
                </c:pt>
                <c:pt idx="37">
                  <c:v>0.67308965377495267</c:v>
                </c:pt>
                <c:pt idx="38">
                  <c:v>0.65833957950939492</c:v>
                </c:pt>
                <c:pt idx="39">
                  <c:v>0.64358950524383696</c:v>
                </c:pt>
                <c:pt idx="40">
                  <c:v>0.62883943097827899</c:v>
                </c:pt>
                <c:pt idx="41">
                  <c:v>0.61408935671272113</c:v>
                </c:pt>
                <c:pt idx="42">
                  <c:v>0.59933928244716328</c:v>
                </c:pt>
                <c:pt idx="43">
                  <c:v>0.58458920818160531</c:v>
                </c:pt>
                <c:pt idx="44">
                  <c:v>0.56983913391604746</c:v>
                </c:pt>
                <c:pt idx="45">
                  <c:v>0.5550890596504896</c:v>
                </c:pt>
                <c:pt idx="46">
                  <c:v>0.54033898538493175</c:v>
                </c:pt>
                <c:pt idx="47">
                  <c:v>0.52558891111937378</c:v>
                </c:pt>
                <c:pt idx="48">
                  <c:v>0.51083883685381593</c:v>
                </c:pt>
                <c:pt idx="49">
                  <c:v>0.49608876258825807</c:v>
                </c:pt>
                <c:pt idx="50">
                  <c:v>0.48133868832270016</c:v>
                </c:pt>
                <c:pt idx="51">
                  <c:v>0.46658861405714225</c:v>
                </c:pt>
                <c:pt idx="52">
                  <c:v>0.45183853979158439</c:v>
                </c:pt>
                <c:pt idx="53">
                  <c:v>0.43708846552602654</c:v>
                </c:pt>
                <c:pt idx="54">
                  <c:v>0.53175959206076606</c:v>
                </c:pt>
                <c:pt idx="55">
                  <c:v>0.52566019545974685</c:v>
                </c:pt>
                <c:pt idx="56">
                  <c:v>0.51008427603372597</c:v>
                </c:pt>
                <c:pt idx="57">
                  <c:v>0.49450835660770504</c:v>
                </c:pt>
                <c:pt idx="58">
                  <c:v>0.4789324371816841</c:v>
                </c:pt>
                <c:pt idx="59">
                  <c:v>0.46335651775566311</c:v>
                </c:pt>
                <c:pt idx="60">
                  <c:v>0.44778059832964223</c:v>
                </c:pt>
                <c:pt idx="61">
                  <c:v>0.43220467890362124</c:v>
                </c:pt>
                <c:pt idx="62">
                  <c:v>0.41662875947760036</c:v>
                </c:pt>
                <c:pt idx="63">
                  <c:v>0.40105284005157948</c:v>
                </c:pt>
                <c:pt idx="64">
                  <c:v>0.38547692062555849</c:v>
                </c:pt>
                <c:pt idx="65">
                  <c:v>0.36990100119953756</c:v>
                </c:pt>
                <c:pt idx="66">
                  <c:v>0.35432508177351668</c:v>
                </c:pt>
                <c:pt idx="67">
                  <c:v>0.33874916234749575</c:v>
                </c:pt>
                <c:pt idx="68">
                  <c:v>0.32317324292147481</c:v>
                </c:pt>
                <c:pt idx="69">
                  <c:v>0.30759732349545382</c:v>
                </c:pt>
                <c:pt idx="70">
                  <c:v>0.29202140406943294</c:v>
                </c:pt>
                <c:pt idx="71">
                  <c:v>0.27644548464341201</c:v>
                </c:pt>
                <c:pt idx="72">
                  <c:v>0.73913043478260843</c:v>
                </c:pt>
                <c:pt idx="73">
                  <c:v>0.73540129114440123</c:v>
                </c:pt>
                <c:pt idx="74">
                  <c:v>0.71985395513798545</c:v>
                </c:pt>
                <c:pt idx="75">
                  <c:v>0.70430661913156956</c:v>
                </c:pt>
                <c:pt idx="76">
                  <c:v>0.68875928312515378</c:v>
                </c:pt>
                <c:pt idx="77">
                  <c:v>0.673211947118738</c:v>
                </c:pt>
                <c:pt idx="78">
                  <c:v>0.65766461111232211</c:v>
                </c:pt>
                <c:pt idx="79">
                  <c:v>0.64211727510590633</c:v>
                </c:pt>
                <c:pt idx="80">
                  <c:v>0.62656993909949055</c:v>
                </c:pt>
                <c:pt idx="81">
                  <c:v>0.61102260309307477</c:v>
                </c:pt>
                <c:pt idx="82">
                  <c:v>0.59547526708665899</c:v>
                </c:pt>
                <c:pt idx="83">
                  <c:v>0.5799279310802431</c:v>
                </c:pt>
                <c:pt idx="84">
                  <c:v>0.56438059507382732</c:v>
                </c:pt>
                <c:pt idx="85">
                  <c:v>0.54883325906741154</c:v>
                </c:pt>
                <c:pt idx="86">
                  <c:v>0.53328592306099565</c:v>
                </c:pt>
                <c:pt idx="87">
                  <c:v>0.51773858705457987</c:v>
                </c:pt>
                <c:pt idx="88">
                  <c:v>0.50219125104816398</c:v>
                </c:pt>
                <c:pt idx="89">
                  <c:v>0.48664391504174814</c:v>
                </c:pt>
                <c:pt idx="90">
                  <c:v>0.59391643413903883</c:v>
                </c:pt>
                <c:pt idx="91">
                  <c:v>0.58666460188017933</c:v>
                </c:pt>
                <c:pt idx="92">
                  <c:v>0.57021065378270985</c:v>
                </c:pt>
                <c:pt idx="93">
                  <c:v>0.55375670568524049</c:v>
                </c:pt>
                <c:pt idx="94">
                  <c:v>0.53730275758777102</c:v>
                </c:pt>
                <c:pt idx="95">
                  <c:v>0.52084880949030155</c:v>
                </c:pt>
                <c:pt idx="96">
                  <c:v>0.50439486139283218</c:v>
                </c:pt>
                <c:pt idx="97">
                  <c:v>0.48794091329536271</c:v>
                </c:pt>
                <c:pt idx="98">
                  <c:v>0.47148696519789324</c:v>
                </c:pt>
                <c:pt idx="99">
                  <c:v>0.45503301710042382</c:v>
                </c:pt>
                <c:pt idx="100">
                  <c:v>0.4385790690029544</c:v>
                </c:pt>
                <c:pt idx="101">
                  <c:v>0.42212512090548493</c:v>
                </c:pt>
                <c:pt idx="102">
                  <c:v>0.40567117280801551</c:v>
                </c:pt>
                <c:pt idx="103">
                  <c:v>0.38921722471054604</c:v>
                </c:pt>
                <c:pt idx="104">
                  <c:v>0.37276327661307662</c:v>
                </c:pt>
                <c:pt idx="105">
                  <c:v>0.3563093285156072</c:v>
                </c:pt>
                <c:pt idx="106">
                  <c:v>0.33985538041813773</c:v>
                </c:pt>
                <c:pt idx="107">
                  <c:v>0.32340143232066831</c:v>
                </c:pt>
                <c:pt idx="108">
                  <c:v>0.44964480786604877</c:v>
                </c:pt>
                <c:pt idx="109">
                  <c:v>0.4213369051208451</c:v>
                </c:pt>
                <c:pt idx="110">
                  <c:v>0.40578956911442926</c:v>
                </c:pt>
                <c:pt idx="111">
                  <c:v>0.39024223310801343</c:v>
                </c:pt>
                <c:pt idx="112">
                  <c:v>0.37469489710159759</c:v>
                </c:pt>
                <c:pt idx="113">
                  <c:v>0.35914756109518176</c:v>
                </c:pt>
                <c:pt idx="114">
                  <c:v>0.34360022508876592</c:v>
                </c:pt>
                <c:pt idx="115">
                  <c:v>0.32805288908235009</c:v>
                </c:pt>
                <c:pt idx="116">
                  <c:v>0.31250555307593425</c:v>
                </c:pt>
                <c:pt idx="117">
                  <c:v>0.29695821706951842</c:v>
                </c:pt>
                <c:pt idx="118">
                  <c:v>0.28141088106310252</c:v>
                </c:pt>
                <c:pt idx="119">
                  <c:v>0.26586354505668669</c:v>
                </c:pt>
                <c:pt idx="120">
                  <c:v>0.25031620905027085</c:v>
                </c:pt>
                <c:pt idx="121">
                  <c:v>0.23476887304385502</c:v>
                </c:pt>
                <c:pt idx="122">
                  <c:v>0.21922153703743918</c:v>
                </c:pt>
                <c:pt idx="123">
                  <c:v>0.20367420103102335</c:v>
                </c:pt>
                <c:pt idx="124">
                  <c:v>0.18812686502460751</c:v>
                </c:pt>
                <c:pt idx="125">
                  <c:v>0.17257952901819165</c:v>
                </c:pt>
                <c:pt idx="126">
                  <c:v>0.27985204811548237</c:v>
                </c:pt>
                <c:pt idx="127">
                  <c:v>0.27971711765697854</c:v>
                </c:pt>
                <c:pt idx="128">
                  <c:v>0.26326316955950907</c:v>
                </c:pt>
                <c:pt idx="129">
                  <c:v>0.24680922146203965</c:v>
                </c:pt>
                <c:pt idx="130">
                  <c:v>0.23035527336457021</c:v>
                </c:pt>
                <c:pt idx="131">
                  <c:v>0.21390132526710076</c:v>
                </c:pt>
                <c:pt idx="132">
                  <c:v>0.19744737716963132</c:v>
                </c:pt>
                <c:pt idx="133">
                  <c:v>0.1809934290721619</c:v>
                </c:pt>
                <c:pt idx="134">
                  <c:v>0.16453948097469245</c:v>
                </c:pt>
                <c:pt idx="135">
                  <c:v>0.14808553287722301</c:v>
                </c:pt>
                <c:pt idx="136">
                  <c:v>0.13163158477975356</c:v>
                </c:pt>
                <c:pt idx="137">
                  <c:v>0.11517763668228413</c:v>
                </c:pt>
                <c:pt idx="138">
                  <c:v>9.8723688584814687E-2</c:v>
                </c:pt>
                <c:pt idx="139">
                  <c:v>8.2269740487345255E-2</c:v>
                </c:pt>
                <c:pt idx="140">
                  <c:v>6.581579238987581E-2</c:v>
                </c:pt>
                <c:pt idx="141">
                  <c:v>4.9361844292406372E-2</c:v>
                </c:pt>
                <c:pt idx="142">
                  <c:v>3.2907896194936934E-2</c:v>
                </c:pt>
                <c:pt idx="143">
                  <c:v>1.6453948097467492E-2</c:v>
                </c:pt>
                <c:pt idx="144">
                  <c:v>0.999999999999998</c:v>
                </c:pt>
                <c:pt idx="145">
                  <c:v>0.98505074659210501</c:v>
                </c:pt>
                <c:pt idx="146">
                  <c:v>0.9701014931842119</c:v>
                </c:pt>
                <c:pt idx="147">
                  <c:v>0.9551522397763188</c:v>
                </c:pt>
                <c:pt idx="148">
                  <c:v>0.9402029863684257</c:v>
                </c:pt>
                <c:pt idx="149">
                  <c:v>0.92525373296053248</c:v>
                </c:pt>
                <c:pt idx="150">
                  <c:v>0.91030447955263938</c:v>
                </c:pt>
                <c:pt idx="151">
                  <c:v>0.89535522614474627</c:v>
                </c:pt>
                <c:pt idx="152">
                  <c:v>0.88040597273685306</c:v>
                </c:pt>
                <c:pt idx="153">
                  <c:v>0.86545671932895984</c:v>
                </c:pt>
                <c:pt idx="154">
                  <c:v>0.85050746592106685</c:v>
                </c:pt>
                <c:pt idx="155">
                  <c:v>0.83555821251317375</c:v>
                </c:pt>
                <c:pt idx="156">
                  <c:v>0.82060895910528053</c:v>
                </c:pt>
                <c:pt idx="157">
                  <c:v>0.80565970569738732</c:v>
                </c:pt>
                <c:pt idx="158">
                  <c:v>0.79071045228949421</c:v>
                </c:pt>
                <c:pt idx="159">
                  <c:v>0.77576119888160111</c:v>
                </c:pt>
                <c:pt idx="160">
                  <c:v>0.76081194547370801</c:v>
                </c:pt>
                <c:pt idx="161">
                  <c:v>0.74586269206581479</c:v>
                </c:pt>
                <c:pt idx="162">
                  <c:v>0.84519472070610857</c:v>
                </c:pt>
                <c:pt idx="163">
                  <c:v>0.8326571809582749</c:v>
                </c:pt>
                <c:pt idx="164">
                  <c:v>0.81685038244777886</c:v>
                </c:pt>
                <c:pt idx="165">
                  <c:v>0.80104358393728281</c:v>
                </c:pt>
                <c:pt idx="166">
                  <c:v>0.78523678542678677</c:v>
                </c:pt>
                <c:pt idx="167">
                  <c:v>0.76942998691629072</c:v>
                </c:pt>
                <c:pt idx="168">
                  <c:v>0.75362318840579468</c:v>
                </c:pt>
                <c:pt idx="169">
                  <c:v>0.73781638989529852</c:v>
                </c:pt>
                <c:pt idx="170">
                  <c:v>0.72200959138480236</c:v>
                </c:pt>
                <c:pt idx="171">
                  <c:v>0.70620279287430621</c:v>
                </c:pt>
                <c:pt idx="172">
                  <c:v>0.69039599436381005</c:v>
                </c:pt>
                <c:pt idx="173">
                  <c:v>0.67458919585331389</c:v>
                </c:pt>
                <c:pt idx="174">
                  <c:v>0.65878239734281774</c:v>
                </c:pt>
                <c:pt idx="175">
                  <c:v>0.64297559883232158</c:v>
                </c:pt>
                <c:pt idx="176">
                  <c:v>0.62716880032182543</c:v>
                </c:pt>
                <c:pt idx="177">
                  <c:v>0.61136200181132927</c:v>
                </c:pt>
                <c:pt idx="178">
                  <c:v>0.59555520330083311</c:v>
                </c:pt>
                <c:pt idx="179">
                  <c:v>0.57974840479033696</c:v>
                </c:pt>
                <c:pt idx="180">
                  <c:v>0.696927958937544</c:v>
                </c:pt>
              </c:numCache>
            </c:numRef>
          </c:val>
          <c:smooth val="0"/>
        </c:ser>
        <c:dLbls>
          <c:showLegendKey val="0"/>
          <c:showVal val="0"/>
          <c:showCatName val="0"/>
          <c:showSerName val="0"/>
          <c:showPercent val="0"/>
          <c:showBubbleSize val="0"/>
        </c:dLbls>
        <c:dropLines>
          <c:spPr>
            <a:ln>
              <a:solidFill>
                <a:schemeClr val="bg1">
                  <a:lumMod val="85000"/>
                </a:schemeClr>
              </a:solidFill>
            </a:ln>
          </c:spPr>
        </c:dropLines>
        <c:marker val="1"/>
        <c:smooth val="0"/>
        <c:axId val="178480128"/>
        <c:axId val="159722880"/>
      </c:lineChart>
      <c:catAx>
        <c:axId val="178480128"/>
        <c:scaling>
          <c:orientation val="minMax"/>
        </c:scaling>
        <c:delete val="0"/>
        <c:axPos val="b"/>
        <c:numFmt formatCode="0" sourceLinked="0"/>
        <c:majorTickMark val="none"/>
        <c:minorTickMark val="none"/>
        <c:tickLblPos val="low"/>
        <c:spPr>
          <a:noFill/>
        </c:spPr>
        <c:txPr>
          <a:bodyPr rot="0" vert="horz" anchor="t" anchorCtr="1"/>
          <a:lstStyle/>
          <a:p>
            <a:pPr>
              <a:defRPr sz="800">
                <a:solidFill>
                  <a:srgbClr val="595959"/>
                </a:solidFill>
              </a:defRPr>
            </a:pPr>
            <a:endParaRPr lang="en-US"/>
          </a:p>
        </c:txPr>
        <c:crossAx val="159722880"/>
        <c:crossesAt val="0.5"/>
        <c:auto val="1"/>
        <c:lblAlgn val="ctr"/>
        <c:lblOffset val="100"/>
        <c:tickLblSkip val="24"/>
        <c:tickMarkSkip val="1"/>
        <c:noMultiLvlLbl val="0"/>
      </c:catAx>
      <c:valAx>
        <c:axId val="159722880"/>
        <c:scaling>
          <c:orientation val="minMax"/>
          <c:max val="1"/>
          <c:min val="0"/>
        </c:scaling>
        <c:delete val="0"/>
        <c:axPos val="l"/>
        <c:majorGridlines>
          <c:spPr>
            <a:ln>
              <a:solidFill>
                <a:schemeClr val="bg1">
                  <a:lumMod val="75000"/>
                </a:schemeClr>
              </a:solidFill>
              <a:prstDash val="sysDash"/>
            </a:ln>
          </c:spPr>
        </c:majorGridlines>
        <c:numFmt formatCode="0%" sourceLinked="0"/>
        <c:majorTickMark val="none"/>
        <c:minorTickMark val="none"/>
        <c:tickLblPos val="nextTo"/>
        <c:spPr>
          <a:ln w="9525">
            <a:solidFill>
              <a:schemeClr val="bg1">
                <a:lumMod val="50000"/>
              </a:schemeClr>
            </a:solidFill>
          </a:ln>
        </c:spPr>
        <c:txPr>
          <a:bodyPr/>
          <a:lstStyle/>
          <a:p>
            <a:pPr>
              <a:defRPr sz="800">
                <a:solidFill>
                  <a:srgbClr val="595959"/>
                </a:solidFill>
              </a:defRPr>
            </a:pPr>
            <a:endParaRPr lang="en-US"/>
          </a:p>
        </c:txPr>
        <c:crossAx val="178480128"/>
        <c:crosses val="autoZero"/>
        <c:crossBetween val="between"/>
        <c:majorUnit val="0.25"/>
      </c:valAx>
      <c:valAx>
        <c:axId val="159723456"/>
        <c:scaling>
          <c:orientation val="minMax"/>
          <c:max val="2000000"/>
        </c:scaling>
        <c:delete val="0"/>
        <c:axPos val="r"/>
        <c:numFmt formatCode="#,##0.0" sourceLinked="0"/>
        <c:majorTickMark val="none"/>
        <c:minorTickMark val="none"/>
        <c:tickLblPos val="nextTo"/>
        <c:spPr>
          <a:ln>
            <a:noFill/>
          </a:ln>
        </c:spPr>
        <c:txPr>
          <a:bodyPr/>
          <a:lstStyle/>
          <a:p>
            <a:pPr>
              <a:defRPr sz="800">
                <a:solidFill>
                  <a:srgbClr val="595959"/>
                </a:solidFill>
              </a:defRPr>
            </a:pPr>
            <a:endParaRPr lang="en-US"/>
          </a:p>
        </c:txPr>
        <c:crossAx val="178481152"/>
        <c:crosses val="max"/>
        <c:crossBetween val="between"/>
        <c:majorUnit val="500000"/>
        <c:dispUnits>
          <c:builtInUnit val="millions"/>
        </c:dispUnits>
      </c:valAx>
      <c:catAx>
        <c:axId val="178481152"/>
        <c:scaling>
          <c:orientation val="minMax"/>
        </c:scaling>
        <c:delete val="1"/>
        <c:axPos val="b"/>
        <c:majorTickMark val="out"/>
        <c:minorTickMark val="none"/>
        <c:tickLblPos val="none"/>
        <c:crossAx val="159723456"/>
        <c:crosses val="autoZero"/>
        <c:auto val="1"/>
        <c:lblAlgn val="ctr"/>
        <c:lblOffset val="100"/>
        <c:noMultiLvlLbl val="0"/>
      </c:cat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5131295658559E-2"/>
          <c:y val="0.10049405589007257"/>
          <c:w val="0.82324367897755746"/>
          <c:h val="0.79108743759971178"/>
        </c:manualLayout>
      </c:layout>
      <c:barChart>
        <c:barDir val="col"/>
        <c:grouping val="clustered"/>
        <c:varyColors val="0"/>
        <c:ser>
          <c:idx val="1"/>
          <c:order val="1"/>
          <c:tx>
            <c:strRef>
              <c:f>'Mx FORECAST'!$GK$3</c:f>
              <c:strCache>
                <c:ptCount val="1"/>
                <c:pt idx="0">
                  <c:v>APU</c:v>
                </c:pt>
              </c:strCache>
            </c:strRef>
          </c:tx>
          <c:spPr>
            <a:ln w="0">
              <a:noFill/>
            </a:ln>
          </c:spPr>
          <c:invertIfNegative val="0"/>
          <c:val>
            <c:numRef>
              <c:f>'Mx FORECAST'!$GJ$5:$GJ$185</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248100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248100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248100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248100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ser>
        <c:dLbls>
          <c:showLegendKey val="0"/>
          <c:showVal val="0"/>
          <c:showCatName val="0"/>
          <c:showSerName val="0"/>
          <c:showPercent val="0"/>
          <c:showBubbleSize val="0"/>
        </c:dLbls>
        <c:gapWidth val="0"/>
        <c:axId val="180887552"/>
        <c:axId val="159726336"/>
      </c:barChart>
      <c:lineChart>
        <c:grouping val="standard"/>
        <c:varyColors val="0"/>
        <c:ser>
          <c:idx val="0"/>
          <c:order val="0"/>
          <c:tx>
            <c:strRef>
              <c:f>'Mx FORECAST'!$GJ$3</c:f>
              <c:strCache>
                <c:ptCount val="1"/>
                <c:pt idx="0">
                  <c:v>APU</c:v>
                </c:pt>
              </c:strCache>
            </c:strRef>
          </c:tx>
          <c:spPr>
            <a:ln w="19050">
              <a:solidFill>
                <a:schemeClr val="tx1">
                  <a:lumMod val="50000"/>
                  <a:lumOff val="50000"/>
                </a:schemeClr>
              </a:solidFill>
            </a:ln>
          </c:spPr>
          <c:marker>
            <c:symbol val="none"/>
          </c:marker>
          <c:cat>
            <c:numRef>
              <c:f>'Mx FORECAST'!$D$68:$D$248</c:f>
              <c:numCache>
                <c:formatCode>#,##0;\(#,##0\);\-</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cat>
          <c:val>
            <c:numRef>
              <c:f>'Mx FORECAST'!$GK$5:$GK$185</c:f>
              <c:numCache>
                <c:formatCode>0%</c:formatCode>
                <c:ptCount val="181"/>
                <c:pt idx="0">
                  <c:v>1</c:v>
                </c:pt>
                <c:pt idx="1">
                  <c:v>0.9753205128205128</c:v>
                </c:pt>
                <c:pt idx="2">
                  <c:v>0.95064102564102571</c:v>
                </c:pt>
                <c:pt idx="3">
                  <c:v>0.92596153846153839</c:v>
                </c:pt>
                <c:pt idx="4">
                  <c:v>0.9012820512820513</c:v>
                </c:pt>
                <c:pt idx="5">
                  <c:v>0.8766025641025641</c:v>
                </c:pt>
                <c:pt idx="6">
                  <c:v>0.85192307692307689</c:v>
                </c:pt>
                <c:pt idx="7">
                  <c:v>0.8272435897435898</c:v>
                </c:pt>
                <c:pt idx="8">
                  <c:v>0.8025641025641026</c:v>
                </c:pt>
                <c:pt idx="9">
                  <c:v>0.77788461538461529</c:v>
                </c:pt>
                <c:pt idx="10">
                  <c:v>0.75320512820512819</c:v>
                </c:pt>
                <c:pt idx="11">
                  <c:v>0.7285256410256411</c:v>
                </c:pt>
                <c:pt idx="12">
                  <c:v>0.7038461538461539</c:v>
                </c:pt>
                <c:pt idx="13">
                  <c:v>0.6791666666666667</c:v>
                </c:pt>
                <c:pt idx="14">
                  <c:v>0.6544871794871796</c:v>
                </c:pt>
                <c:pt idx="15">
                  <c:v>0.6298076923076924</c:v>
                </c:pt>
                <c:pt idx="16">
                  <c:v>0.6051282051282052</c:v>
                </c:pt>
                <c:pt idx="17">
                  <c:v>0.580448717948718</c:v>
                </c:pt>
                <c:pt idx="18">
                  <c:v>0.5557692307692309</c:v>
                </c:pt>
                <c:pt idx="19">
                  <c:v>0.53108974358974381</c:v>
                </c:pt>
                <c:pt idx="20">
                  <c:v>0.50641025641025661</c:v>
                </c:pt>
                <c:pt idx="21">
                  <c:v>0.48173076923076941</c:v>
                </c:pt>
                <c:pt idx="22">
                  <c:v>0.45705128205128226</c:v>
                </c:pt>
                <c:pt idx="23">
                  <c:v>0.432371794871795</c:v>
                </c:pt>
                <c:pt idx="24">
                  <c:v>0.4076923076923078</c:v>
                </c:pt>
                <c:pt idx="25">
                  <c:v>0.38301282051282054</c:v>
                </c:pt>
                <c:pt idx="26">
                  <c:v>0.35833333333333334</c:v>
                </c:pt>
                <c:pt idx="27">
                  <c:v>0.33365384615384613</c:v>
                </c:pt>
                <c:pt idx="28">
                  <c:v>0.30897435897435888</c:v>
                </c:pt>
                <c:pt idx="29">
                  <c:v>0.28429487179487167</c:v>
                </c:pt>
                <c:pt idx="30">
                  <c:v>0.25961538461538441</c:v>
                </c:pt>
                <c:pt idx="31">
                  <c:v>0.23493589743589721</c:v>
                </c:pt>
                <c:pt idx="32">
                  <c:v>0.21025641025640998</c:v>
                </c:pt>
                <c:pt idx="33">
                  <c:v>0.18557692307692275</c:v>
                </c:pt>
                <c:pt idx="34">
                  <c:v>0.16089743589743555</c:v>
                </c:pt>
                <c:pt idx="35">
                  <c:v>0.13621794871794832</c:v>
                </c:pt>
                <c:pt idx="36">
                  <c:v>0.11153846153846109</c:v>
                </c:pt>
                <c:pt idx="37">
                  <c:v>8.6858974358973856E-2</c:v>
                </c:pt>
                <c:pt idx="38">
                  <c:v>6.2179487179486639E-2</c:v>
                </c:pt>
                <c:pt idx="39">
                  <c:v>3.7499999999999416E-2</c:v>
                </c:pt>
                <c:pt idx="40">
                  <c:v>1.2820512820512189E-2</c:v>
                </c:pt>
                <c:pt idx="41">
                  <c:v>1</c:v>
                </c:pt>
                <c:pt idx="42">
                  <c:v>0.9634615384615377</c:v>
                </c:pt>
                <c:pt idx="43">
                  <c:v>0.93878205128205061</c:v>
                </c:pt>
                <c:pt idx="44">
                  <c:v>0.91410256410256352</c:v>
                </c:pt>
                <c:pt idx="45">
                  <c:v>0.88942307692307643</c:v>
                </c:pt>
                <c:pt idx="46">
                  <c:v>0.86474358974358934</c:v>
                </c:pt>
                <c:pt idx="47">
                  <c:v>0.84006410256410224</c:v>
                </c:pt>
                <c:pt idx="48">
                  <c:v>0.81538461538461504</c:v>
                </c:pt>
                <c:pt idx="49">
                  <c:v>0.79070512820512795</c:v>
                </c:pt>
                <c:pt idx="50">
                  <c:v>0.76602564102564086</c:v>
                </c:pt>
                <c:pt idx="51">
                  <c:v>0.74134615384615377</c:v>
                </c:pt>
                <c:pt idx="52">
                  <c:v>0.71666666666666667</c:v>
                </c:pt>
                <c:pt idx="53">
                  <c:v>0.69198717948717958</c:v>
                </c:pt>
                <c:pt idx="54">
                  <c:v>0.66730769230769249</c:v>
                </c:pt>
                <c:pt idx="55">
                  <c:v>0.6426282051282054</c:v>
                </c:pt>
                <c:pt idx="56">
                  <c:v>0.6179487179487182</c:v>
                </c:pt>
                <c:pt idx="57">
                  <c:v>0.5932692307692311</c:v>
                </c:pt>
                <c:pt idx="58">
                  <c:v>0.56858974358974401</c:v>
                </c:pt>
                <c:pt idx="59">
                  <c:v>0.54391025641025692</c:v>
                </c:pt>
                <c:pt idx="60">
                  <c:v>0.51923076923076983</c:v>
                </c:pt>
                <c:pt idx="61">
                  <c:v>0.49455128205128268</c:v>
                </c:pt>
                <c:pt idx="62">
                  <c:v>0.46987179487179559</c:v>
                </c:pt>
                <c:pt idx="63">
                  <c:v>0.4451923076923085</c:v>
                </c:pt>
                <c:pt idx="64">
                  <c:v>0.42051282051282141</c:v>
                </c:pt>
                <c:pt idx="65">
                  <c:v>0.39583333333333426</c:v>
                </c:pt>
                <c:pt idx="66">
                  <c:v>0.37115384615384717</c:v>
                </c:pt>
                <c:pt idx="67">
                  <c:v>0.34647435897436007</c:v>
                </c:pt>
                <c:pt idx="68">
                  <c:v>0.32179487179487293</c:v>
                </c:pt>
                <c:pt idx="69">
                  <c:v>0.29711538461538584</c:v>
                </c:pt>
                <c:pt idx="70">
                  <c:v>0.27243589743589874</c:v>
                </c:pt>
                <c:pt idx="71">
                  <c:v>0.24775641025641162</c:v>
                </c:pt>
                <c:pt idx="72">
                  <c:v>0.22307692307692453</c:v>
                </c:pt>
                <c:pt idx="73">
                  <c:v>0.19839743589743741</c:v>
                </c:pt>
                <c:pt idx="74">
                  <c:v>0.17371794871795029</c:v>
                </c:pt>
                <c:pt idx="75">
                  <c:v>0.1490384615384632</c:v>
                </c:pt>
                <c:pt idx="76">
                  <c:v>0.1243589743589761</c:v>
                </c:pt>
                <c:pt idx="77">
                  <c:v>9.967948717948899E-2</c:v>
                </c:pt>
                <c:pt idx="78">
                  <c:v>7.5000000000001871E-2</c:v>
                </c:pt>
                <c:pt idx="79">
                  <c:v>5.0320512820514772E-2</c:v>
                </c:pt>
                <c:pt idx="80">
                  <c:v>2.5641025641027663E-2</c:v>
                </c:pt>
                <c:pt idx="81">
                  <c:v>9.6153846154055497E-4</c:v>
                </c:pt>
                <c:pt idx="82">
                  <c:v>1</c:v>
                </c:pt>
                <c:pt idx="83">
                  <c:v>0.95160256410256638</c:v>
                </c:pt>
                <c:pt idx="84">
                  <c:v>0.92692307692307918</c:v>
                </c:pt>
                <c:pt idx="85">
                  <c:v>0.90224358974359209</c:v>
                </c:pt>
                <c:pt idx="86">
                  <c:v>0.877564102564105</c:v>
                </c:pt>
                <c:pt idx="87">
                  <c:v>0.85288461538461791</c:v>
                </c:pt>
                <c:pt idx="88">
                  <c:v>0.82820512820513081</c:v>
                </c:pt>
                <c:pt idx="89">
                  <c:v>0.80352564102564372</c:v>
                </c:pt>
                <c:pt idx="90">
                  <c:v>0.77884615384615663</c:v>
                </c:pt>
                <c:pt idx="91">
                  <c:v>0.75416666666666943</c:v>
                </c:pt>
                <c:pt idx="92">
                  <c:v>0.72948717948718234</c:v>
                </c:pt>
                <c:pt idx="93">
                  <c:v>0.70480769230769524</c:v>
                </c:pt>
                <c:pt idx="94">
                  <c:v>0.68012820512820815</c:v>
                </c:pt>
                <c:pt idx="95">
                  <c:v>0.65544871794872106</c:v>
                </c:pt>
                <c:pt idx="96">
                  <c:v>0.63076923076923397</c:v>
                </c:pt>
                <c:pt idx="97">
                  <c:v>0.60608974358974688</c:v>
                </c:pt>
                <c:pt idx="98">
                  <c:v>0.58141025641025978</c:v>
                </c:pt>
                <c:pt idx="99">
                  <c:v>0.55673076923077258</c:v>
                </c:pt>
                <c:pt idx="100">
                  <c:v>0.53205128205128549</c:v>
                </c:pt>
                <c:pt idx="101">
                  <c:v>0.5073717948717984</c:v>
                </c:pt>
                <c:pt idx="102">
                  <c:v>0.48269230769231131</c:v>
                </c:pt>
                <c:pt idx="103">
                  <c:v>0.45801282051282421</c:v>
                </c:pt>
                <c:pt idx="104">
                  <c:v>0.43333333333333707</c:v>
                </c:pt>
                <c:pt idx="105">
                  <c:v>0.40865384615384998</c:v>
                </c:pt>
                <c:pt idx="106">
                  <c:v>0.38397435897436288</c:v>
                </c:pt>
                <c:pt idx="107">
                  <c:v>0.35929487179487579</c:v>
                </c:pt>
                <c:pt idx="108">
                  <c:v>0.33461538461538864</c:v>
                </c:pt>
                <c:pt idx="109">
                  <c:v>0.30993589743590155</c:v>
                </c:pt>
                <c:pt idx="110">
                  <c:v>0.28525641025641446</c:v>
                </c:pt>
                <c:pt idx="111">
                  <c:v>0.26057692307692731</c:v>
                </c:pt>
                <c:pt idx="112">
                  <c:v>0.23589743589744022</c:v>
                </c:pt>
                <c:pt idx="113">
                  <c:v>0.21121794871795313</c:v>
                </c:pt>
                <c:pt idx="114">
                  <c:v>0.18653846153846601</c:v>
                </c:pt>
                <c:pt idx="115">
                  <c:v>0.16185897435897892</c:v>
                </c:pt>
                <c:pt idx="116">
                  <c:v>0.1371794871794918</c:v>
                </c:pt>
                <c:pt idx="117">
                  <c:v>0.11250000000000469</c:v>
                </c:pt>
                <c:pt idx="118">
                  <c:v>8.7820512820517588E-2</c:v>
                </c:pt>
                <c:pt idx="119">
                  <c:v>6.3141025641030482E-2</c:v>
                </c:pt>
                <c:pt idx="120">
                  <c:v>3.8461538461543369E-2</c:v>
                </c:pt>
                <c:pt idx="121">
                  <c:v>1.3782051282056264E-2</c:v>
                </c:pt>
                <c:pt idx="122">
                  <c:v>-1.0897435897430844E-2</c:v>
                </c:pt>
                <c:pt idx="123">
                  <c:v>1</c:v>
                </c:pt>
                <c:pt idx="124">
                  <c:v>0.93974358974359495</c:v>
                </c:pt>
                <c:pt idx="125">
                  <c:v>0.91506410256410786</c:v>
                </c:pt>
                <c:pt idx="126">
                  <c:v>0.89038461538462077</c:v>
                </c:pt>
                <c:pt idx="127">
                  <c:v>0.86570512820513357</c:v>
                </c:pt>
                <c:pt idx="128">
                  <c:v>0.84102564102564648</c:v>
                </c:pt>
                <c:pt idx="129">
                  <c:v>0.81634615384615938</c:v>
                </c:pt>
                <c:pt idx="130">
                  <c:v>0.79166666666667229</c:v>
                </c:pt>
                <c:pt idx="131">
                  <c:v>0.7669871794871852</c:v>
                </c:pt>
                <c:pt idx="132">
                  <c:v>0.74230769230769811</c:v>
                </c:pt>
                <c:pt idx="133">
                  <c:v>0.71762820512821102</c:v>
                </c:pt>
                <c:pt idx="134">
                  <c:v>0.69294871794872381</c:v>
                </c:pt>
                <c:pt idx="135">
                  <c:v>0.66826923076923672</c:v>
                </c:pt>
                <c:pt idx="136">
                  <c:v>0.64358974358974963</c:v>
                </c:pt>
                <c:pt idx="137">
                  <c:v>0.61891025641026254</c:v>
                </c:pt>
                <c:pt idx="138">
                  <c:v>0.59423076923077545</c:v>
                </c:pt>
                <c:pt idx="139">
                  <c:v>0.56955128205128835</c:v>
                </c:pt>
                <c:pt idx="140">
                  <c:v>0.54487179487180126</c:v>
                </c:pt>
                <c:pt idx="141">
                  <c:v>0.52019230769231417</c:v>
                </c:pt>
                <c:pt idx="142">
                  <c:v>0.49551282051282702</c:v>
                </c:pt>
                <c:pt idx="143">
                  <c:v>0.47083333333333988</c:v>
                </c:pt>
                <c:pt idx="144">
                  <c:v>0.44615384615385278</c:v>
                </c:pt>
                <c:pt idx="145">
                  <c:v>0.42147435897436569</c:v>
                </c:pt>
                <c:pt idx="146">
                  <c:v>0.3967948717948786</c:v>
                </c:pt>
                <c:pt idx="147">
                  <c:v>0.37211538461539145</c:v>
                </c:pt>
                <c:pt idx="148">
                  <c:v>0.34743589743590436</c:v>
                </c:pt>
                <c:pt idx="149">
                  <c:v>0.32275641025641727</c:v>
                </c:pt>
                <c:pt idx="150">
                  <c:v>0.29807692307693018</c:v>
                </c:pt>
                <c:pt idx="151">
                  <c:v>0.27339743589744303</c:v>
                </c:pt>
                <c:pt idx="152">
                  <c:v>0.24871794871795594</c:v>
                </c:pt>
                <c:pt idx="153">
                  <c:v>0.22403846153846882</c:v>
                </c:pt>
                <c:pt idx="154">
                  <c:v>0.19935897435898173</c:v>
                </c:pt>
                <c:pt idx="155">
                  <c:v>0.17467948717949461</c:v>
                </c:pt>
                <c:pt idx="156">
                  <c:v>0.15000000000000752</c:v>
                </c:pt>
                <c:pt idx="157">
                  <c:v>0.1253205128205204</c:v>
                </c:pt>
                <c:pt idx="158">
                  <c:v>0.10064102564103329</c:v>
                </c:pt>
                <c:pt idx="159">
                  <c:v>7.5961538461546185E-2</c:v>
                </c:pt>
                <c:pt idx="160">
                  <c:v>5.128205128205908E-2</c:v>
                </c:pt>
                <c:pt idx="161">
                  <c:v>2.660256410257197E-2</c:v>
                </c:pt>
                <c:pt idx="162">
                  <c:v>1.9230769230848639E-3</c:v>
                </c:pt>
                <c:pt idx="163">
                  <c:v>-2.2756410256402244E-2</c:v>
                </c:pt>
                <c:pt idx="164">
                  <c:v>1</c:v>
                </c:pt>
                <c:pt idx="165">
                  <c:v>0.92788461538462352</c:v>
                </c:pt>
                <c:pt idx="166">
                  <c:v>0.90320512820513643</c:v>
                </c:pt>
                <c:pt idx="167">
                  <c:v>0.87852564102564934</c:v>
                </c:pt>
                <c:pt idx="168">
                  <c:v>0.85384615384616225</c:v>
                </c:pt>
                <c:pt idx="169">
                  <c:v>0.82916666666667516</c:v>
                </c:pt>
                <c:pt idx="170">
                  <c:v>0.80448717948718795</c:v>
                </c:pt>
                <c:pt idx="171">
                  <c:v>0.77980769230770086</c:v>
                </c:pt>
                <c:pt idx="172">
                  <c:v>0.75512820512821377</c:v>
                </c:pt>
                <c:pt idx="173">
                  <c:v>0.73044871794872668</c:v>
                </c:pt>
                <c:pt idx="174">
                  <c:v>0.70576923076923959</c:v>
                </c:pt>
                <c:pt idx="175">
                  <c:v>0.68108974358975249</c:v>
                </c:pt>
                <c:pt idx="176">
                  <c:v>0.6564102564102654</c:v>
                </c:pt>
                <c:pt idx="177">
                  <c:v>0.6317307692307782</c:v>
                </c:pt>
                <c:pt idx="178">
                  <c:v>0.60705128205129111</c:v>
                </c:pt>
                <c:pt idx="179">
                  <c:v>0.58237179487180402</c:v>
                </c:pt>
                <c:pt idx="180">
                  <c:v>0.55769230769231692</c:v>
                </c:pt>
              </c:numCache>
            </c:numRef>
          </c:val>
          <c:smooth val="0"/>
        </c:ser>
        <c:dLbls>
          <c:showLegendKey val="0"/>
          <c:showVal val="0"/>
          <c:showCatName val="0"/>
          <c:showSerName val="0"/>
          <c:showPercent val="0"/>
          <c:showBubbleSize val="0"/>
        </c:dLbls>
        <c:dropLines>
          <c:spPr>
            <a:ln>
              <a:solidFill>
                <a:schemeClr val="bg1">
                  <a:lumMod val="85000"/>
                </a:schemeClr>
              </a:solidFill>
            </a:ln>
          </c:spPr>
        </c:dropLines>
        <c:marker val="1"/>
        <c:smooth val="0"/>
        <c:axId val="178481664"/>
        <c:axId val="159725760"/>
      </c:lineChart>
      <c:catAx>
        <c:axId val="178481664"/>
        <c:scaling>
          <c:orientation val="minMax"/>
        </c:scaling>
        <c:delete val="0"/>
        <c:axPos val="b"/>
        <c:numFmt formatCode="0" sourceLinked="0"/>
        <c:majorTickMark val="none"/>
        <c:minorTickMark val="none"/>
        <c:tickLblPos val="low"/>
        <c:spPr>
          <a:noFill/>
        </c:spPr>
        <c:txPr>
          <a:bodyPr rot="0" vert="horz" anchor="t" anchorCtr="1"/>
          <a:lstStyle/>
          <a:p>
            <a:pPr>
              <a:defRPr sz="800">
                <a:solidFill>
                  <a:srgbClr val="595959"/>
                </a:solidFill>
              </a:defRPr>
            </a:pPr>
            <a:endParaRPr lang="en-US"/>
          </a:p>
        </c:txPr>
        <c:crossAx val="159725760"/>
        <c:crossesAt val="0.5"/>
        <c:auto val="1"/>
        <c:lblAlgn val="ctr"/>
        <c:lblOffset val="100"/>
        <c:tickLblSkip val="24"/>
        <c:tickMarkSkip val="1"/>
        <c:noMultiLvlLbl val="0"/>
      </c:catAx>
      <c:valAx>
        <c:axId val="159725760"/>
        <c:scaling>
          <c:orientation val="minMax"/>
          <c:max val="1"/>
          <c:min val="0"/>
        </c:scaling>
        <c:delete val="0"/>
        <c:axPos val="l"/>
        <c:majorGridlines>
          <c:spPr>
            <a:ln>
              <a:solidFill>
                <a:schemeClr val="bg1">
                  <a:lumMod val="75000"/>
                </a:schemeClr>
              </a:solidFill>
              <a:prstDash val="sysDash"/>
            </a:ln>
          </c:spPr>
        </c:majorGridlines>
        <c:numFmt formatCode="0%" sourceLinked="0"/>
        <c:majorTickMark val="none"/>
        <c:minorTickMark val="none"/>
        <c:tickLblPos val="nextTo"/>
        <c:spPr>
          <a:ln w="9525">
            <a:solidFill>
              <a:schemeClr val="bg1">
                <a:lumMod val="50000"/>
              </a:schemeClr>
            </a:solidFill>
          </a:ln>
        </c:spPr>
        <c:txPr>
          <a:bodyPr/>
          <a:lstStyle/>
          <a:p>
            <a:pPr>
              <a:defRPr sz="800">
                <a:solidFill>
                  <a:srgbClr val="595959"/>
                </a:solidFill>
              </a:defRPr>
            </a:pPr>
            <a:endParaRPr lang="en-US"/>
          </a:p>
        </c:txPr>
        <c:crossAx val="178481664"/>
        <c:crosses val="autoZero"/>
        <c:crossBetween val="between"/>
        <c:majorUnit val="0.25"/>
      </c:valAx>
      <c:valAx>
        <c:axId val="159726336"/>
        <c:scaling>
          <c:orientation val="minMax"/>
          <c:max val="400000"/>
        </c:scaling>
        <c:delete val="0"/>
        <c:axPos val="r"/>
        <c:numFmt formatCode="#,##0.0" sourceLinked="0"/>
        <c:majorTickMark val="none"/>
        <c:minorTickMark val="none"/>
        <c:tickLblPos val="nextTo"/>
        <c:spPr>
          <a:ln>
            <a:noFill/>
          </a:ln>
        </c:spPr>
        <c:txPr>
          <a:bodyPr/>
          <a:lstStyle/>
          <a:p>
            <a:pPr>
              <a:defRPr sz="800">
                <a:solidFill>
                  <a:srgbClr val="595959"/>
                </a:solidFill>
              </a:defRPr>
            </a:pPr>
            <a:endParaRPr lang="en-US"/>
          </a:p>
        </c:txPr>
        <c:crossAx val="180887552"/>
        <c:crosses val="max"/>
        <c:crossBetween val="between"/>
        <c:majorUnit val="100000"/>
        <c:dispUnits>
          <c:builtInUnit val="millions"/>
        </c:dispUnits>
      </c:valAx>
      <c:catAx>
        <c:axId val="180887552"/>
        <c:scaling>
          <c:orientation val="minMax"/>
        </c:scaling>
        <c:delete val="1"/>
        <c:axPos val="b"/>
        <c:majorTickMark val="out"/>
        <c:minorTickMark val="none"/>
        <c:tickLblPos val="none"/>
        <c:crossAx val="159726336"/>
        <c:crosses val="autoZero"/>
        <c:auto val="1"/>
        <c:lblAlgn val="ctr"/>
        <c:lblOffset val="100"/>
        <c:noMultiLvlLbl val="0"/>
      </c:cat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75131295658559E-2"/>
          <c:y val="0.10049405589007257"/>
          <c:w val="0.82324367897755746"/>
          <c:h val="0.79108743759971178"/>
        </c:manualLayout>
      </c:layout>
      <c:barChart>
        <c:barDir val="col"/>
        <c:grouping val="clustered"/>
        <c:varyColors val="0"/>
        <c:ser>
          <c:idx val="1"/>
          <c:order val="1"/>
          <c:tx>
            <c:strRef>
              <c:f>'Mx FORECAST'!$GL$3</c:f>
              <c:strCache>
                <c:ptCount val="1"/>
                <c:pt idx="0">
                  <c:v>Engine</c:v>
                </c:pt>
              </c:strCache>
            </c:strRef>
          </c:tx>
          <c:spPr>
            <a:ln w="0">
              <a:noFill/>
            </a:ln>
          </c:spPr>
          <c:invertIfNegative val="0"/>
          <c:val>
            <c:numRef>
              <c:f>'Mx FORECAST'!$GL$5:$GL$185</c:f>
              <c:numCache>
                <c:formatCode>#,##0;\(#,##0\);\-</c:formatCode>
                <c:ptCount val="18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7307280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6481755</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numCache>
            </c:numRef>
          </c:val>
        </c:ser>
        <c:dLbls>
          <c:showLegendKey val="0"/>
          <c:showVal val="0"/>
          <c:showCatName val="0"/>
          <c:showSerName val="0"/>
          <c:showPercent val="0"/>
          <c:showBubbleSize val="0"/>
        </c:dLbls>
        <c:gapWidth val="0"/>
        <c:axId val="180889600"/>
        <c:axId val="165881536"/>
      </c:barChart>
      <c:lineChart>
        <c:grouping val="standard"/>
        <c:varyColors val="0"/>
        <c:ser>
          <c:idx val="0"/>
          <c:order val="0"/>
          <c:tx>
            <c:strRef>
              <c:f>'Mx FORECAST'!$GM$3</c:f>
              <c:strCache>
                <c:ptCount val="1"/>
                <c:pt idx="0">
                  <c:v>Engine</c:v>
                </c:pt>
              </c:strCache>
            </c:strRef>
          </c:tx>
          <c:spPr>
            <a:ln w="19050">
              <a:solidFill>
                <a:schemeClr val="tx1">
                  <a:lumMod val="50000"/>
                  <a:lumOff val="50000"/>
                </a:schemeClr>
              </a:solidFill>
            </a:ln>
          </c:spPr>
          <c:marker>
            <c:symbol val="none"/>
          </c:marker>
          <c:cat>
            <c:numRef>
              <c:f>'Mx FORECAST'!$D$68:$D$248</c:f>
              <c:numCache>
                <c:formatCode>#,##0;\(#,##0\);\-</c:formatCode>
                <c:ptCount val="18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numCache>
            </c:numRef>
          </c:cat>
          <c:val>
            <c:numRef>
              <c:f>'Mx FORECAST'!$GM$5:$GM$185</c:f>
              <c:numCache>
                <c:formatCode>0%</c:formatCode>
                <c:ptCount val="181"/>
                <c:pt idx="0">
                  <c:v>1</c:v>
                </c:pt>
                <c:pt idx="1">
                  <c:v>0.99112042940025646</c:v>
                </c:pt>
                <c:pt idx="2">
                  <c:v>0.98224085880051271</c:v>
                </c:pt>
                <c:pt idx="3">
                  <c:v>0.97336128820076906</c:v>
                </c:pt>
                <c:pt idx="4">
                  <c:v>0.96448171760102552</c:v>
                </c:pt>
                <c:pt idx="5">
                  <c:v>0.95560214700128177</c:v>
                </c:pt>
                <c:pt idx="6">
                  <c:v>0.94672257640153812</c:v>
                </c:pt>
                <c:pt idx="7">
                  <c:v>0.93784300580179458</c:v>
                </c:pt>
                <c:pt idx="8">
                  <c:v>0.92896343520205082</c:v>
                </c:pt>
                <c:pt idx="9">
                  <c:v>0.92008386460230718</c:v>
                </c:pt>
                <c:pt idx="10">
                  <c:v>0.91120429400256364</c:v>
                </c:pt>
                <c:pt idx="11">
                  <c:v>0.90232472340281988</c:v>
                </c:pt>
                <c:pt idx="12">
                  <c:v>0.89344515280307635</c:v>
                </c:pt>
                <c:pt idx="13">
                  <c:v>0.8845655822033327</c:v>
                </c:pt>
                <c:pt idx="14">
                  <c:v>0.87568601160358894</c:v>
                </c:pt>
                <c:pt idx="15">
                  <c:v>0.86680644100384541</c:v>
                </c:pt>
                <c:pt idx="16">
                  <c:v>0.85792687040410176</c:v>
                </c:pt>
                <c:pt idx="17">
                  <c:v>0.849047299804358</c:v>
                </c:pt>
                <c:pt idx="18">
                  <c:v>0.84016772920461447</c:v>
                </c:pt>
                <c:pt idx="19">
                  <c:v>0.83128815860487082</c:v>
                </c:pt>
                <c:pt idx="20">
                  <c:v>0.82240858800512706</c:v>
                </c:pt>
                <c:pt idx="21">
                  <c:v>0.81352901740538353</c:v>
                </c:pt>
                <c:pt idx="22">
                  <c:v>0.80464944680563977</c:v>
                </c:pt>
                <c:pt idx="23">
                  <c:v>0.79576987620589623</c:v>
                </c:pt>
                <c:pt idx="24">
                  <c:v>0.78689030560615258</c:v>
                </c:pt>
                <c:pt idx="25">
                  <c:v>0.77801073500640894</c:v>
                </c:pt>
                <c:pt idx="26">
                  <c:v>0.76913116440666529</c:v>
                </c:pt>
                <c:pt idx="27">
                  <c:v>0.76025159380692164</c:v>
                </c:pt>
                <c:pt idx="28">
                  <c:v>0.751372023207178</c:v>
                </c:pt>
                <c:pt idx="29">
                  <c:v>0.74249245260743446</c:v>
                </c:pt>
                <c:pt idx="30">
                  <c:v>0.7336128820076907</c:v>
                </c:pt>
                <c:pt idx="31">
                  <c:v>0.72473331140794706</c:v>
                </c:pt>
                <c:pt idx="32">
                  <c:v>0.71585374080820352</c:v>
                </c:pt>
                <c:pt idx="33">
                  <c:v>0.70697417020845987</c:v>
                </c:pt>
                <c:pt idx="34">
                  <c:v>0.69809459960871623</c:v>
                </c:pt>
                <c:pt idx="35">
                  <c:v>0.68921502900897258</c:v>
                </c:pt>
                <c:pt idx="36">
                  <c:v>0.68033545840922904</c:v>
                </c:pt>
                <c:pt idx="37">
                  <c:v>0.67145588780948529</c:v>
                </c:pt>
                <c:pt idx="38">
                  <c:v>0.66257631720974175</c:v>
                </c:pt>
                <c:pt idx="39">
                  <c:v>0.6536967466099981</c:v>
                </c:pt>
                <c:pt idx="40">
                  <c:v>0.64481717601025434</c:v>
                </c:pt>
                <c:pt idx="41">
                  <c:v>0.63593760541051081</c:v>
                </c:pt>
                <c:pt idx="42">
                  <c:v>0.62705803481076705</c:v>
                </c:pt>
                <c:pt idx="43">
                  <c:v>0.61817846421102352</c:v>
                </c:pt>
                <c:pt idx="44">
                  <c:v>0.60929889361127987</c:v>
                </c:pt>
                <c:pt idx="45">
                  <c:v>0.60041932301153611</c:v>
                </c:pt>
                <c:pt idx="46">
                  <c:v>0.59153975241179257</c:v>
                </c:pt>
                <c:pt idx="47">
                  <c:v>0.58266018181204893</c:v>
                </c:pt>
                <c:pt idx="48">
                  <c:v>0.57378061121230517</c:v>
                </c:pt>
                <c:pt idx="49">
                  <c:v>0.56490104061256163</c:v>
                </c:pt>
                <c:pt idx="50">
                  <c:v>0.55602147001281788</c:v>
                </c:pt>
                <c:pt idx="51">
                  <c:v>0.54714189941307423</c:v>
                </c:pt>
                <c:pt idx="52">
                  <c:v>0.53826232881333069</c:v>
                </c:pt>
                <c:pt idx="53">
                  <c:v>0.52938275821358693</c:v>
                </c:pt>
                <c:pt idx="54">
                  <c:v>0.5205031876138434</c:v>
                </c:pt>
                <c:pt idx="55">
                  <c:v>0.51162361701409964</c:v>
                </c:pt>
                <c:pt idx="56">
                  <c:v>0.50274404641435599</c:v>
                </c:pt>
                <c:pt idx="57">
                  <c:v>0.4938644758146124</c:v>
                </c:pt>
                <c:pt idx="58">
                  <c:v>0.48498490521486864</c:v>
                </c:pt>
                <c:pt idx="59">
                  <c:v>0.47610533461512505</c:v>
                </c:pt>
                <c:pt idx="60">
                  <c:v>0.46722576401538152</c:v>
                </c:pt>
                <c:pt idx="61">
                  <c:v>0.45834619341563776</c:v>
                </c:pt>
                <c:pt idx="62">
                  <c:v>0.44946662281589417</c:v>
                </c:pt>
                <c:pt idx="63">
                  <c:v>0.44058705221615047</c:v>
                </c:pt>
                <c:pt idx="64">
                  <c:v>0.43170748161640682</c:v>
                </c:pt>
                <c:pt idx="65">
                  <c:v>0.42282791101666312</c:v>
                </c:pt>
                <c:pt idx="66">
                  <c:v>0.41394834041691947</c:v>
                </c:pt>
                <c:pt idx="67">
                  <c:v>0.40506876981717577</c:v>
                </c:pt>
                <c:pt idx="68">
                  <c:v>0.39618919921743212</c:v>
                </c:pt>
                <c:pt idx="69">
                  <c:v>0.38730962861768842</c:v>
                </c:pt>
                <c:pt idx="70">
                  <c:v>0.37843005801794477</c:v>
                </c:pt>
                <c:pt idx="71">
                  <c:v>0.36955048741820112</c:v>
                </c:pt>
                <c:pt idx="72">
                  <c:v>0.36067091681845742</c:v>
                </c:pt>
                <c:pt idx="73">
                  <c:v>0.35179134621871377</c:v>
                </c:pt>
                <c:pt idx="74">
                  <c:v>0.34291177561897007</c:v>
                </c:pt>
                <c:pt idx="75">
                  <c:v>0.33403220501922642</c:v>
                </c:pt>
                <c:pt idx="76">
                  <c:v>0.32515263441948272</c:v>
                </c:pt>
                <c:pt idx="77">
                  <c:v>0.31627306381973908</c:v>
                </c:pt>
                <c:pt idx="78">
                  <c:v>0.30739349321999543</c:v>
                </c:pt>
                <c:pt idx="79">
                  <c:v>0.29851392262025178</c:v>
                </c:pt>
                <c:pt idx="80">
                  <c:v>0.28963435202050819</c:v>
                </c:pt>
                <c:pt idx="81">
                  <c:v>0.28075478142076454</c:v>
                </c:pt>
                <c:pt idx="82">
                  <c:v>0.27187521082102095</c:v>
                </c:pt>
                <c:pt idx="83">
                  <c:v>0.2629956402212773</c:v>
                </c:pt>
                <c:pt idx="84">
                  <c:v>0.25411606962153366</c:v>
                </c:pt>
                <c:pt idx="85">
                  <c:v>0.88177397456655171</c:v>
                </c:pt>
                <c:pt idx="86">
                  <c:v>0.87624607714737535</c:v>
                </c:pt>
                <c:pt idx="87">
                  <c:v>0.86410062683272337</c:v>
                </c:pt>
                <c:pt idx="88">
                  <c:v>0.8519551765180714</c:v>
                </c:pt>
                <c:pt idx="89">
                  <c:v>0.83980972620341965</c:v>
                </c:pt>
                <c:pt idx="90">
                  <c:v>0.82766427588876768</c:v>
                </c:pt>
                <c:pt idx="91">
                  <c:v>0.8155188255741157</c:v>
                </c:pt>
                <c:pt idx="92">
                  <c:v>0.80337337525946373</c:v>
                </c:pt>
                <c:pt idx="93">
                  <c:v>0.79122792494481187</c:v>
                </c:pt>
                <c:pt idx="94">
                  <c:v>0.77908247463016</c:v>
                </c:pt>
                <c:pt idx="95">
                  <c:v>0.76693702431550803</c:v>
                </c:pt>
                <c:pt idx="96">
                  <c:v>0.75479157400085606</c:v>
                </c:pt>
                <c:pt idx="97">
                  <c:v>0.7426461236862042</c:v>
                </c:pt>
                <c:pt idx="98">
                  <c:v>0.73050067337155233</c:v>
                </c:pt>
                <c:pt idx="99">
                  <c:v>0.71835522305690036</c:v>
                </c:pt>
                <c:pt idx="100">
                  <c:v>0.70620977274224839</c:v>
                </c:pt>
                <c:pt idx="101">
                  <c:v>0.69406432242759641</c:v>
                </c:pt>
                <c:pt idx="102">
                  <c:v>0.68191887211294455</c:v>
                </c:pt>
                <c:pt idx="103">
                  <c:v>0.66977342179829258</c:v>
                </c:pt>
                <c:pt idx="104">
                  <c:v>0.65762797148364061</c:v>
                </c:pt>
                <c:pt idx="105">
                  <c:v>0.64548252116898874</c:v>
                </c:pt>
                <c:pt idx="106">
                  <c:v>0.63333707085433688</c:v>
                </c:pt>
                <c:pt idx="107">
                  <c:v>0.62119162053968491</c:v>
                </c:pt>
                <c:pt idx="108">
                  <c:v>0.60904617022503293</c:v>
                </c:pt>
                <c:pt idx="109">
                  <c:v>0.59690071991038107</c:v>
                </c:pt>
                <c:pt idx="110">
                  <c:v>0.58475526959572921</c:v>
                </c:pt>
                <c:pt idx="111">
                  <c:v>0.57260981928107724</c:v>
                </c:pt>
                <c:pt idx="112">
                  <c:v>0.56046436896642526</c:v>
                </c:pt>
                <c:pt idx="113">
                  <c:v>0.5483189186517734</c:v>
                </c:pt>
                <c:pt idx="114">
                  <c:v>0.53617346833712154</c:v>
                </c:pt>
                <c:pt idx="115">
                  <c:v>0.52402801802246957</c:v>
                </c:pt>
                <c:pt idx="116">
                  <c:v>0.51188256770781759</c:v>
                </c:pt>
                <c:pt idx="117">
                  <c:v>0.49973711739316573</c:v>
                </c:pt>
                <c:pt idx="118">
                  <c:v>0.48759166707851387</c:v>
                </c:pt>
                <c:pt idx="119">
                  <c:v>0.4754462167638619</c:v>
                </c:pt>
                <c:pt idx="120">
                  <c:v>0.46330076644920992</c:v>
                </c:pt>
                <c:pt idx="121">
                  <c:v>0.45115531613455806</c:v>
                </c:pt>
                <c:pt idx="122">
                  <c:v>0.43900986581990614</c:v>
                </c:pt>
                <c:pt idx="123">
                  <c:v>0.42686441550525422</c:v>
                </c:pt>
                <c:pt idx="124">
                  <c:v>0.41471896519060225</c:v>
                </c:pt>
                <c:pt idx="125">
                  <c:v>0.40257351487595033</c:v>
                </c:pt>
                <c:pt idx="126">
                  <c:v>0.39042806456129842</c:v>
                </c:pt>
                <c:pt idx="127">
                  <c:v>0.3782826142466465</c:v>
                </c:pt>
                <c:pt idx="128">
                  <c:v>0.36613716393199464</c:v>
                </c:pt>
                <c:pt idx="129">
                  <c:v>0.35399171361734277</c:v>
                </c:pt>
                <c:pt idx="130">
                  <c:v>0.34184626330269091</c:v>
                </c:pt>
                <c:pt idx="131">
                  <c:v>0.32970081298803899</c:v>
                </c:pt>
                <c:pt idx="132">
                  <c:v>0.31755536267338713</c:v>
                </c:pt>
                <c:pt idx="133">
                  <c:v>0.30540991235873527</c:v>
                </c:pt>
                <c:pt idx="134">
                  <c:v>0.29326446204408341</c:v>
                </c:pt>
                <c:pt idx="135">
                  <c:v>0.28111901172943149</c:v>
                </c:pt>
                <c:pt idx="136">
                  <c:v>0.26897356141477963</c:v>
                </c:pt>
                <c:pt idx="137">
                  <c:v>0.25682811110012777</c:v>
                </c:pt>
                <c:pt idx="138">
                  <c:v>0.24468266078547588</c:v>
                </c:pt>
                <c:pt idx="139">
                  <c:v>0.23253721047082401</c:v>
                </c:pt>
                <c:pt idx="140">
                  <c:v>0.8331435537544063</c:v>
                </c:pt>
                <c:pt idx="141">
                  <c:v>0.82359918124608678</c:v>
                </c:pt>
                <c:pt idx="142">
                  <c:v>0.81145373093143491</c:v>
                </c:pt>
                <c:pt idx="143">
                  <c:v>0.79930828061678305</c:v>
                </c:pt>
                <c:pt idx="144">
                  <c:v>0.78716283030213119</c:v>
                </c:pt>
                <c:pt idx="145">
                  <c:v>0.77501737998747933</c:v>
                </c:pt>
                <c:pt idx="146">
                  <c:v>0.76287192967282746</c:v>
                </c:pt>
                <c:pt idx="147">
                  <c:v>0.7507264793581756</c:v>
                </c:pt>
                <c:pt idx="148">
                  <c:v>0.73858102904352374</c:v>
                </c:pt>
                <c:pt idx="149">
                  <c:v>0.72643557872887188</c:v>
                </c:pt>
                <c:pt idx="150">
                  <c:v>0.7142901284142199</c:v>
                </c:pt>
                <c:pt idx="151">
                  <c:v>0.70214467809956804</c:v>
                </c:pt>
                <c:pt idx="152">
                  <c:v>0.68999922778491618</c:v>
                </c:pt>
                <c:pt idx="153">
                  <c:v>0.67785377747026432</c:v>
                </c:pt>
                <c:pt idx="154">
                  <c:v>0.66570832715561246</c:v>
                </c:pt>
                <c:pt idx="155">
                  <c:v>0.65356287684096059</c:v>
                </c:pt>
                <c:pt idx="156">
                  <c:v>0.64141742652630873</c:v>
                </c:pt>
                <c:pt idx="157">
                  <c:v>0.62927197621165687</c:v>
                </c:pt>
                <c:pt idx="158">
                  <c:v>0.6171265258970049</c:v>
                </c:pt>
                <c:pt idx="159">
                  <c:v>0.60498107558235303</c:v>
                </c:pt>
                <c:pt idx="160">
                  <c:v>0.59283562526770117</c:v>
                </c:pt>
                <c:pt idx="161">
                  <c:v>0.58069017495304931</c:v>
                </c:pt>
                <c:pt idx="162">
                  <c:v>0.56854472463839745</c:v>
                </c:pt>
                <c:pt idx="163">
                  <c:v>0.55639927432374559</c:v>
                </c:pt>
                <c:pt idx="164">
                  <c:v>0.54425382400909372</c:v>
                </c:pt>
                <c:pt idx="165">
                  <c:v>0.53210837369444186</c:v>
                </c:pt>
                <c:pt idx="166">
                  <c:v>0.51996292337979</c:v>
                </c:pt>
                <c:pt idx="167">
                  <c:v>0.50781747306513803</c:v>
                </c:pt>
                <c:pt idx="168">
                  <c:v>0.49567202275048622</c:v>
                </c:pt>
                <c:pt idx="169">
                  <c:v>0.4835265724358343</c:v>
                </c:pt>
                <c:pt idx="170">
                  <c:v>0.47138112212118244</c:v>
                </c:pt>
                <c:pt idx="171">
                  <c:v>0.45923567180653058</c:v>
                </c:pt>
                <c:pt idx="172">
                  <c:v>0.44709022149187871</c:v>
                </c:pt>
                <c:pt idx="173">
                  <c:v>0.4349447711772268</c:v>
                </c:pt>
                <c:pt idx="174">
                  <c:v>0.42279932086257493</c:v>
                </c:pt>
                <c:pt idx="175">
                  <c:v>0.41065387054792307</c:v>
                </c:pt>
                <c:pt idx="176">
                  <c:v>0.39850842023327121</c:v>
                </c:pt>
                <c:pt idx="177">
                  <c:v>0.38636296991861929</c:v>
                </c:pt>
                <c:pt idx="178">
                  <c:v>0.37421751960396743</c:v>
                </c:pt>
                <c:pt idx="179">
                  <c:v>0.36207206928931557</c:v>
                </c:pt>
                <c:pt idx="180">
                  <c:v>0.34992661897466371</c:v>
                </c:pt>
              </c:numCache>
            </c:numRef>
          </c:val>
          <c:smooth val="0"/>
        </c:ser>
        <c:dLbls>
          <c:showLegendKey val="0"/>
          <c:showVal val="0"/>
          <c:showCatName val="0"/>
          <c:showSerName val="0"/>
          <c:showPercent val="0"/>
          <c:showBubbleSize val="0"/>
        </c:dLbls>
        <c:dropLines>
          <c:spPr>
            <a:ln>
              <a:solidFill>
                <a:schemeClr val="bg1">
                  <a:lumMod val="85000"/>
                </a:schemeClr>
              </a:solidFill>
            </a:ln>
          </c:spPr>
        </c:dropLines>
        <c:marker val="1"/>
        <c:smooth val="0"/>
        <c:axId val="180888576"/>
        <c:axId val="165880960"/>
      </c:lineChart>
      <c:catAx>
        <c:axId val="180888576"/>
        <c:scaling>
          <c:orientation val="minMax"/>
        </c:scaling>
        <c:delete val="0"/>
        <c:axPos val="b"/>
        <c:numFmt formatCode="0" sourceLinked="0"/>
        <c:majorTickMark val="none"/>
        <c:minorTickMark val="none"/>
        <c:tickLblPos val="low"/>
        <c:spPr>
          <a:noFill/>
        </c:spPr>
        <c:txPr>
          <a:bodyPr rot="0" vert="horz" anchor="t" anchorCtr="1"/>
          <a:lstStyle/>
          <a:p>
            <a:pPr>
              <a:defRPr sz="800">
                <a:solidFill>
                  <a:srgbClr val="595959"/>
                </a:solidFill>
              </a:defRPr>
            </a:pPr>
            <a:endParaRPr lang="en-US"/>
          </a:p>
        </c:txPr>
        <c:crossAx val="165880960"/>
        <c:crossesAt val="0.5"/>
        <c:auto val="1"/>
        <c:lblAlgn val="ctr"/>
        <c:lblOffset val="100"/>
        <c:tickLblSkip val="24"/>
        <c:tickMarkSkip val="1"/>
        <c:noMultiLvlLbl val="0"/>
      </c:catAx>
      <c:valAx>
        <c:axId val="165880960"/>
        <c:scaling>
          <c:orientation val="minMax"/>
          <c:max val="1"/>
          <c:min val="0"/>
        </c:scaling>
        <c:delete val="0"/>
        <c:axPos val="l"/>
        <c:majorGridlines>
          <c:spPr>
            <a:ln>
              <a:solidFill>
                <a:schemeClr val="bg1">
                  <a:lumMod val="75000"/>
                </a:schemeClr>
              </a:solidFill>
              <a:prstDash val="sysDash"/>
            </a:ln>
          </c:spPr>
        </c:majorGridlines>
        <c:numFmt formatCode="0%" sourceLinked="0"/>
        <c:majorTickMark val="none"/>
        <c:minorTickMark val="none"/>
        <c:tickLblPos val="nextTo"/>
        <c:spPr>
          <a:ln w="9525">
            <a:solidFill>
              <a:schemeClr val="bg1">
                <a:lumMod val="50000"/>
              </a:schemeClr>
            </a:solidFill>
          </a:ln>
        </c:spPr>
        <c:txPr>
          <a:bodyPr/>
          <a:lstStyle/>
          <a:p>
            <a:pPr>
              <a:defRPr sz="800">
                <a:solidFill>
                  <a:srgbClr val="595959"/>
                </a:solidFill>
              </a:defRPr>
            </a:pPr>
            <a:endParaRPr lang="en-US"/>
          </a:p>
        </c:txPr>
        <c:crossAx val="180888576"/>
        <c:crosses val="autoZero"/>
        <c:crossBetween val="between"/>
        <c:majorUnit val="0.25"/>
      </c:valAx>
      <c:valAx>
        <c:axId val="165881536"/>
        <c:scaling>
          <c:orientation val="minMax"/>
          <c:max val="12000000"/>
        </c:scaling>
        <c:delete val="0"/>
        <c:axPos val="r"/>
        <c:numFmt formatCode="#,##0.0" sourceLinked="0"/>
        <c:majorTickMark val="none"/>
        <c:minorTickMark val="none"/>
        <c:tickLblPos val="nextTo"/>
        <c:spPr>
          <a:ln>
            <a:noFill/>
          </a:ln>
        </c:spPr>
        <c:txPr>
          <a:bodyPr/>
          <a:lstStyle/>
          <a:p>
            <a:pPr>
              <a:defRPr sz="800">
                <a:solidFill>
                  <a:srgbClr val="595959"/>
                </a:solidFill>
              </a:defRPr>
            </a:pPr>
            <a:endParaRPr lang="en-US"/>
          </a:p>
        </c:txPr>
        <c:crossAx val="180889600"/>
        <c:crosses val="max"/>
        <c:crossBetween val="between"/>
        <c:majorUnit val="2500000"/>
        <c:dispUnits>
          <c:builtInUnit val="millions"/>
        </c:dispUnits>
      </c:valAx>
      <c:catAx>
        <c:axId val="180889600"/>
        <c:scaling>
          <c:orientation val="minMax"/>
        </c:scaling>
        <c:delete val="1"/>
        <c:axPos val="b"/>
        <c:majorTickMark val="out"/>
        <c:minorTickMark val="none"/>
        <c:tickLblPos val="none"/>
        <c:crossAx val="165881536"/>
        <c:crosses val="autoZero"/>
        <c:auto val="1"/>
        <c:lblAlgn val="ctr"/>
        <c:lblOffset val="100"/>
        <c:noMultiLvlLbl val="0"/>
      </c:cat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hyperlink" Target="http://www.aircraftmonitor.com/index.html" TargetMode="External"/><Relationship Id="rId3" Type="http://schemas.openxmlformats.org/officeDocument/2006/relationships/image" Target="../media/image4.jpg"/><Relationship Id="rId7" Type="http://schemas.openxmlformats.org/officeDocument/2006/relationships/image" Target="../media/image8.emf"/><Relationship Id="rId12" Type="http://schemas.openxmlformats.org/officeDocument/2006/relationships/image" Target="../media/image12.emf"/><Relationship Id="rId2" Type="http://schemas.openxmlformats.org/officeDocument/2006/relationships/image" Target="../media/image3.png"/><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1.png"/><Relationship Id="rId5" Type="http://schemas.openxmlformats.org/officeDocument/2006/relationships/image" Target="../media/image6.emf"/><Relationship Id="rId10" Type="http://schemas.openxmlformats.org/officeDocument/2006/relationships/image" Target="../media/image10.png"/><Relationship Id="rId4" Type="http://schemas.openxmlformats.org/officeDocument/2006/relationships/image" Target="../media/image5.wmf"/><Relationship Id="rId9" Type="http://schemas.openxmlformats.org/officeDocument/2006/relationships/image" Target="../media/image9.emf"/></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9.emf"/><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ttp://www.aircraftmonitor.com/index.html" TargetMode="Externa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71</xdr:col>
      <xdr:colOff>47625</xdr:colOff>
      <xdr:row>2</xdr:row>
      <xdr:rowOff>9525</xdr:rowOff>
    </xdr:from>
    <xdr:to>
      <xdr:col>79</xdr:col>
      <xdr:colOff>9525</xdr:colOff>
      <xdr:row>27</xdr:row>
      <xdr:rowOff>66675</xdr:rowOff>
    </xdr:to>
    <xdr:sp macro="" textlink="">
      <xdr:nvSpPr>
        <xdr:cNvPr id="5" name="Rectangle 4"/>
        <xdr:cNvSpPr/>
      </xdr:nvSpPr>
      <xdr:spPr>
        <a:xfrm>
          <a:off x="21469350" y="209550"/>
          <a:ext cx="2647950" cy="36290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61</xdr:col>
      <xdr:colOff>38101</xdr:colOff>
      <xdr:row>2</xdr:row>
      <xdr:rowOff>3808</xdr:rowOff>
    </xdr:from>
    <xdr:to>
      <xdr:col>71</xdr:col>
      <xdr:colOff>3</xdr:colOff>
      <xdr:row>36</xdr:row>
      <xdr:rowOff>38100</xdr:rowOff>
    </xdr:to>
    <xdr:grpSp>
      <xdr:nvGrpSpPr>
        <xdr:cNvPr id="3" name="Group 2"/>
        <xdr:cNvGrpSpPr/>
      </xdr:nvGrpSpPr>
      <xdr:grpSpPr>
        <a:xfrm>
          <a:off x="16878301" y="203833"/>
          <a:ext cx="5324477" cy="4930142"/>
          <a:chOff x="16487776" y="203833"/>
          <a:chExt cx="5324477" cy="4930142"/>
        </a:xfrm>
      </xdr:grpSpPr>
      <xdr:grpSp>
        <xdr:nvGrpSpPr>
          <xdr:cNvPr id="2" name="Group 1"/>
          <xdr:cNvGrpSpPr/>
        </xdr:nvGrpSpPr>
        <xdr:grpSpPr>
          <a:xfrm>
            <a:off x="16487776" y="203833"/>
            <a:ext cx="5324477" cy="2567940"/>
            <a:chOff x="16506826" y="2156458"/>
            <a:chExt cx="5324477" cy="2567940"/>
          </a:xfrm>
        </xdr:grpSpPr>
        <xdr:graphicFrame macro="">
          <xdr:nvGraphicFramePr>
            <xdr:cNvPr id="8" name="Chart 7"/>
            <xdr:cNvGraphicFramePr/>
          </xdr:nvGraphicFramePr>
          <xdr:xfrm>
            <a:off x="16506826" y="2160169"/>
            <a:ext cx="2614802" cy="256422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9" name="Chart 8"/>
            <xdr:cNvGraphicFramePr/>
          </xdr:nvGraphicFramePr>
          <xdr:xfrm>
            <a:off x="19050480" y="2156458"/>
            <a:ext cx="2780823" cy="2553094"/>
          </xdr:xfrm>
          <a:graphic>
            <a:graphicData uri="http://schemas.openxmlformats.org/drawingml/2006/chart">
              <c:chart xmlns:c="http://schemas.openxmlformats.org/drawingml/2006/chart" xmlns:r="http://schemas.openxmlformats.org/officeDocument/2006/relationships" r:id="rId2"/>
            </a:graphicData>
          </a:graphic>
        </xdr:graphicFrame>
      </xdr:grpSp>
      <xdr:graphicFrame macro="">
        <xdr:nvGraphicFramePr>
          <xdr:cNvPr id="7" name="Chart 6"/>
          <xdr:cNvGraphicFramePr>
            <a:graphicFrameLocks/>
          </xdr:cNvGraphicFramePr>
        </xdr:nvGraphicFramePr>
        <xdr:xfrm>
          <a:off x="16497300" y="2505075"/>
          <a:ext cx="5305424" cy="26289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71</xdr:col>
      <xdr:colOff>19050</xdr:colOff>
      <xdr:row>2</xdr:row>
      <xdr:rowOff>0</xdr:rowOff>
    </xdr:from>
    <xdr:to>
      <xdr:col>79</xdr:col>
      <xdr:colOff>142875</xdr:colOff>
      <xdr:row>19</xdr:row>
      <xdr:rowOff>61914</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381000</xdr:colOff>
      <xdr:row>2</xdr:row>
      <xdr:rowOff>9529</xdr:rowOff>
    </xdr:from>
    <xdr:to>
      <xdr:col>12</xdr:col>
      <xdr:colOff>1021080</xdr:colOff>
      <xdr:row>7</xdr:row>
      <xdr:rowOff>231</xdr:rowOff>
    </xdr:to>
    <xdr:pic>
      <xdr:nvPicPr>
        <xdr:cNvPr id="4" name="Picture 3" descr="737_sm_bca_gallery.jpg"/>
        <xdr:cNvPicPr>
          <a:picLocks noChangeAspect="1"/>
        </xdr:cNvPicPr>
      </xdr:nvPicPr>
      <xdr:blipFill>
        <a:blip xmlns:r="http://schemas.openxmlformats.org/officeDocument/2006/relationships" r:embed="rId1" cstate="print"/>
        <a:stretch>
          <a:fillRect/>
        </a:stretch>
      </xdr:blipFill>
      <xdr:spPr>
        <a:xfrm>
          <a:off x="9391650" y="228604"/>
          <a:ext cx="640080" cy="428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28</xdr:row>
      <xdr:rowOff>180975</xdr:rowOff>
    </xdr:from>
    <xdr:to>
      <xdr:col>0</xdr:col>
      <xdr:colOff>200025</xdr:colOff>
      <xdr:row>38</xdr:row>
      <xdr:rowOff>104775</xdr:rowOff>
    </xdr:to>
    <xdr:pic>
      <xdr:nvPicPr>
        <xdr:cNvPr id="2" name="Picture 1"/>
        <xdr:cNvPicPr/>
      </xdr:nvPicPr>
      <xdr:blipFill>
        <a:blip xmlns:r="http://schemas.openxmlformats.org/officeDocument/2006/relationships" r:embed="rId1" cstate="print"/>
        <a:srcRect/>
        <a:stretch>
          <a:fillRect/>
        </a:stretch>
      </xdr:blipFill>
      <xdr:spPr bwMode="auto">
        <a:xfrm>
          <a:off x="200025" y="5438775"/>
          <a:ext cx="0" cy="1828800"/>
        </a:xfrm>
        <a:prstGeom prst="rect">
          <a:avLst/>
        </a:prstGeom>
        <a:noFill/>
        <a:ln w="9525">
          <a:noFill/>
          <a:miter lim="800000"/>
          <a:headEnd/>
          <a:tailEnd/>
        </a:ln>
      </xdr:spPr>
    </xdr:pic>
    <xdr:clientData/>
  </xdr:twoCellAnchor>
  <xdr:twoCellAnchor editAs="oneCell">
    <xdr:from>
      <xdr:col>2</xdr:col>
      <xdr:colOff>552450</xdr:colOff>
      <xdr:row>12</xdr:row>
      <xdr:rowOff>66675</xdr:rowOff>
    </xdr:from>
    <xdr:to>
      <xdr:col>2</xdr:col>
      <xdr:colOff>552450</xdr:colOff>
      <xdr:row>24</xdr:row>
      <xdr:rowOff>66675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1650" y="2276475"/>
          <a:ext cx="0" cy="2286000"/>
        </a:xfrm>
        <a:prstGeom prst="rect">
          <a:avLst/>
        </a:prstGeom>
      </xdr:spPr>
    </xdr:pic>
    <xdr:clientData/>
  </xdr:twoCellAnchor>
  <xdr:twoCellAnchor editAs="oneCell">
    <xdr:from>
      <xdr:col>0</xdr:col>
      <xdr:colOff>123825</xdr:colOff>
      <xdr:row>0</xdr:row>
      <xdr:rowOff>95250</xdr:rowOff>
    </xdr:from>
    <xdr:to>
      <xdr:col>0</xdr:col>
      <xdr:colOff>123825</xdr:colOff>
      <xdr:row>2</xdr:row>
      <xdr:rowOff>23855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825" y="95250"/>
          <a:ext cx="0" cy="385805"/>
        </a:xfrm>
        <a:prstGeom prst="rect">
          <a:avLst/>
        </a:prstGeom>
      </xdr:spPr>
    </xdr:pic>
    <xdr:clientData/>
  </xdr:twoCellAnchor>
  <xdr:twoCellAnchor editAs="oneCell">
    <xdr:from>
      <xdr:col>3</xdr:col>
      <xdr:colOff>457200</xdr:colOff>
      <xdr:row>84</xdr:row>
      <xdr:rowOff>0</xdr:rowOff>
    </xdr:from>
    <xdr:to>
      <xdr:col>3</xdr:col>
      <xdr:colOff>457200</xdr:colOff>
      <xdr:row>91</xdr:row>
      <xdr:rowOff>133350</xdr:rowOff>
    </xdr:to>
    <xdr:pic>
      <xdr:nvPicPr>
        <xdr:cNvPr id="5" name="Picture 4"/>
        <xdr:cNvPicPr/>
      </xdr:nvPicPr>
      <xdr:blipFill>
        <a:blip xmlns:r="http://schemas.openxmlformats.org/officeDocument/2006/relationships" r:embed="rId4" cstate="print"/>
        <a:srcRect/>
        <a:stretch>
          <a:fillRect/>
        </a:stretch>
      </xdr:blipFill>
      <xdr:spPr bwMode="auto">
        <a:xfrm>
          <a:off x="2286000" y="13725525"/>
          <a:ext cx="0" cy="1371600"/>
        </a:xfrm>
        <a:prstGeom prst="rect">
          <a:avLst/>
        </a:prstGeom>
        <a:noFill/>
        <a:ln w="9525">
          <a:noFill/>
          <a:miter lim="800000"/>
          <a:headEnd/>
          <a:tailEnd/>
        </a:ln>
      </xdr:spPr>
    </xdr:pic>
    <xdr:clientData/>
  </xdr:twoCellAnchor>
  <xdr:twoCellAnchor editAs="oneCell">
    <xdr:from>
      <xdr:col>3</xdr:col>
      <xdr:colOff>161925</xdr:colOff>
      <xdr:row>103</xdr:row>
      <xdr:rowOff>123823</xdr:rowOff>
    </xdr:from>
    <xdr:to>
      <xdr:col>3</xdr:col>
      <xdr:colOff>161925</xdr:colOff>
      <xdr:row>111</xdr:row>
      <xdr:rowOff>66673</xdr:rowOff>
    </xdr:to>
    <xdr:pic>
      <xdr:nvPicPr>
        <xdr:cNvPr id="6" name="Picture 5"/>
        <xdr:cNvPicPr/>
      </xdr:nvPicPr>
      <xdr:blipFill>
        <a:blip xmlns:r="http://schemas.openxmlformats.org/officeDocument/2006/relationships" r:embed="rId5" cstate="print"/>
        <a:stretch>
          <a:fillRect/>
        </a:stretch>
      </xdr:blipFill>
      <xdr:spPr>
        <a:xfrm>
          <a:off x="1990725" y="18183223"/>
          <a:ext cx="0" cy="1371600"/>
        </a:xfrm>
        <a:prstGeom prst="rect">
          <a:avLst/>
        </a:prstGeom>
      </xdr:spPr>
    </xdr:pic>
    <xdr:clientData/>
  </xdr:twoCellAnchor>
  <xdr:twoCellAnchor editAs="oneCell">
    <xdr:from>
      <xdr:col>0</xdr:col>
      <xdr:colOff>104775</xdr:colOff>
      <xdr:row>0</xdr:row>
      <xdr:rowOff>85725</xdr:rowOff>
    </xdr:from>
    <xdr:to>
      <xdr:col>0</xdr:col>
      <xdr:colOff>104775</xdr:colOff>
      <xdr:row>2</xdr:row>
      <xdr:rowOff>14330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85725"/>
          <a:ext cx="1280160" cy="385805"/>
        </a:xfrm>
        <a:prstGeom prst="rect">
          <a:avLst/>
        </a:prstGeom>
      </xdr:spPr>
    </xdr:pic>
    <xdr:clientData/>
  </xdr:twoCellAnchor>
  <xdr:twoCellAnchor editAs="oneCell">
    <xdr:from>
      <xdr:col>2</xdr:col>
      <xdr:colOff>114300</xdr:colOff>
      <xdr:row>29</xdr:row>
      <xdr:rowOff>76200</xdr:rowOff>
    </xdr:from>
    <xdr:to>
      <xdr:col>2</xdr:col>
      <xdr:colOff>114300</xdr:colOff>
      <xdr:row>42</xdr:row>
      <xdr:rowOff>76200</xdr:rowOff>
    </xdr:to>
    <xdr:pic>
      <xdr:nvPicPr>
        <xdr:cNvPr id="8" name="Picture 7" descr="Fig XX _ Mtx Status _ Full &amp; Half.emf"/>
        <xdr:cNvPicPr/>
      </xdr:nvPicPr>
      <xdr:blipFill>
        <a:blip xmlns:r="http://schemas.openxmlformats.org/officeDocument/2006/relationships" r:embed="rId6"/>
        <a:stretch>
          <a:fillRect/>
        </a:stretch>
      </xdr:blipFill>
      <xdr:spPr>
        <a:xfrm>
          <a:off x="1333500" y="5524500"/>
          <a:ext cx="6353176" cy="2324100"/>
        </a:xfrm>
        <a:prstGeom prst="rect">
          <a:avLst/>
        </a:prstGeom>
      </xdr:spPr>
    </xdr:pic>
    <xdr:clientData/>
  </xdr:twoCellAnchor>
  <xdr:twoCellAnchor editAs="oneCell">
    <xdr:from>
      <xdr:col>2</xdr:col>
      <xdr:colOff>295274</xdr:colOff>
      <xdr:row>94</xdr:row>
      <xdr:rowOff>57151</xdr:rowOff>
    </xdr:from>
    <xdr:to>
      <xdr:col>2</xdr:col>
      <xdr:colOff>295274</xdr:colOff>
      <xdr:row>116</xdr:row>
      <xdr:rowOff>85725</xdr:rowOff>
    </xdr:to>
    <xdr:pic>
      <xdr:nvPicPr>
        <xdr:cNvPr id="9" name="Picture 8" descr="Fig XX _ Ageing Mtx Costs.emf"/>
        <xdr:cNvPicPr/>
      </xdr:nvPicPr>
      <xdr:blipFill>
        <a:blip xmlns:r="http://schemas.openxmlformats.org/officeDocument/2006/relationships" r:embed="rId7" cstate="print"/>
        <a:stretch>
          <a:fillRect/>
        </a:stretch>
      </xdr:blipFill>
      <xdr:spPr>
        <a:xfrm>
          <a:off x="1514474" y="16402051"/>
          <a:ext cx="6217920" cy="3914774"/>
        </a:xfrm>
        <a:prstGeom prst="rect">
          <a:avLst/>
        </a:prstGeom>
      </xdr:spPr>
    </xdr:pic>
    <xdr:clientData/>
  </xdr:twoCellAnchor>
  <xdr:twoCellAnchor editAs="oneCell">
    <xdr:from>
      <xdr:col>0</xdr:col>
      <xdr:colOff>161925</xdr:colOff>
      <xdr:row>0</xdr:row>
      <xdr:rowOff>114300</xdr:rowOff>
    </xdr:from>
    <xdr:to>
      <xdr:col>2</xdr:col>
      <xdr:colOff>219075</xdr:colOff>
      <xdr:row>2</xdr:row>
      <xdr:rowOff>38100</xdr:rowOff>
    </xdr:to>
    <xdr:pic>
      <xdr:nvPicPr>
        <xdr:cNvPr id="10" name="Picture 9">
          <a:hlinkClick xmlns:r="http://schemas.openxmlformats.org/officeDocument/2006/relationships" r:id="rId8"/>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1925" y="114300"/>
          <a:ext cx="12763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400050</xdr:colOff>
      <xdr:row>28</xdr:row>
      <xdr:rowOff>38100</xdr:rowOff>
    </xdr:from>
    <xdr:to>
      <xdr:col>13</xdr:col>
      <xdr:colOff>47626</xdr:colOff>
      <xdr:row>40</xdr:row>
      <xdr:rowOff>76200</xdr:rowOff>
    </xdr:to>
    <xdr:pic>
      <xdr:nvPicPr>
        <xdr:cNvPr id="11" name="Picture 10" descr="Fig XX _ Mtx Status _ Full &amp; Half.emf"/>
        <xdr:cNvPicPr/>
      </xdr:nvPicPr>
      <xdr:blipFill>
        <a:blip xmlns:r="http://schemas.openxmlformats.org/officeDocument/2006/relationships" r:embed="rId6"/>
        <a:stretch>
          <a:fillRect/>
        </a:stretch>
      </xdr:blipFill>
      <xdr:spPr>
        <a:xfrm>
          <a:off x="1619250" y="5295900"/>
          <a:ext cx="6353176" cy="2324100"/>
        </a:xfrm>
        <a:prstGeom prst="rect">
          <a:avLst/>
        </a:prstGeom>
      </xdr:spPr>
    </xdr:pic>
    <xdr:clientData/>
  </xdr:twoCellAnchor>
  <xdr:twoCellAnchor editAs="oneCell">
    <xdr:from>
      <xdr:col>0</xdr:col>
      <xdr:colOff>85725</xdr:colOff>
      <xdr:row>94</xdr:row>
      <xdr:rowOff>47625</xdr:rowOff>
    </xdr:from>
    <xdr:to>
      <xdr:col>8</xdr:col>
      <xdr:colOff>238125</xdr:colOff>
      <xdr:row>107</xdr:row>
      <xdr:rowOff>155025</xdr:rowOff>
    </xdr:to>
    <xdr:pic>
      <xdr:nvPicPr>
        <xdr:cNvPr id="12" name="Picture 11"/>
        <xdr:cNvPicPr>
          <a:picLocks noChangeAspect="1"/>
        </xdr:cNvPicPr>
      </xdr:nvPicPr>
      <xdr:blipFill>
        <a:blip xmlns:r="http://schemas.openxmlformats.org/officeDocument/2006/relationships" r:embed="rId10"/>
        <a:stretch>
          <a:fillRect/>
        </a:stretch>
      </xdr:blipFill>
      <xdr:spPr>
        <a:xfrm>
          <a:off x="85725" y="16640175"/>
          <a:ext cx="5029200" cy="2583900"/>
        </a:xfrm>
        <a:prstGeom prst="rect">
          <a:avLst/>
        </a:prstGeom>
      </xdr:spPr>
    </xdr:pic>
    <xdr:clientData/>
  </xdr:twoCellAnchor>
  <xdr:twoCellAnchor editAs="oneCell">
    <xdr:from>
      <xdr:col>9</xdr:col>
      <xdr:colOff>76197</xdr:colOff>
      <xdr:row>94</xdr:row>
      <xdr:rowOff>38099</xdr:rowOff>
    </xdr:from>
    <xdr:to>
      <xdr:col>15</xdr:col>
      <xdr:colOff>419106</xdr:colOff>
      <xdr:row>108</xdr:row>
      <xdr:rowOff>28575</xdr:rowOff>
    </xdr:to>
    <xdr:pic>
      <xdr:nvPicPr>
        <xdr:cNvPr id="14" name="Picture 13"/>
        <xdr:cNvPicPr>
          <a:picLocks noChangeAspect="1"/>
        </xdr:cNvPicPr>
      </xdr:nvPicPr>
      <xdr:blipFill>
        <a:blip xmlns:r="http://schemas.openxmlformats.org/officeDocument/2006/relationships" r:embed="rId11"/>
        <a:stretch>
          <a:fillRect/>
        </a:stretch>
      </xdr:blipFill>
      <xdr:spPr>
        <a:xfrm>
          <a:off x="5562597" y="17392649"/>
          <a:ext cx="4000509" cy="2657476"/>
        </a:xfrm>
        <a:prstGeom prst="rect">
          <a:avLst/>
        </a:prstGeom>
      </xdr:spPr>
    </xdr:pic>
    <xdr:clientData/>
  </xdr:twoCellAnchor>
  <xdr:twoCellAnchor editAs="oneCell">
    <xdr:from>
      <xdr:col>4</xdr:col>
      <xdr:colOff>600073</xdr:colOff>
      <xdr:row>59</xdr:row>
      <xdr:rowOff>95250</xdr:rowOff>
    </xdr:from>
    <xdr:to>
      <xdr:col>11</xdr:col>
      <xdr:colOff>81084</xdr:colOff>
      <xdr:row>72</xdr:row>
      <xdr:rowOff>87630</xdr:rowOff>
    </xdr:to>
    <xdr:pic>
      <xdr:nvPicPr>
        <xdr:cNvPr id="15" name="Picture 1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038473" y="11830050"/>
          <a:ext cx="3748211" cy="2468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28575</xdr:colOff>
      <xdr:row>9</xdr:row>
      <xdr:rowOff>114300</xdr:rowOff>
    </xdr:from>
    <xdr:to>
      <xdr:col>24</xdr:col>
      <xdr:colOff>523875</xdr:colOff>
      <xdr:row>24</xdr:row>
      <xdr:rowOff>28575</xdr:rowOff>
    </xdr:to>
    <xdr:grpSp>
      <xdr:nvGrpSpPr>
        <xdr:cNvPr id="2" name="Group 1"/>
        <xdr:cNvGrpSpPr/>
      </xdr:nvGrpSpPr>
      <xdr:grpSpPr>
        <a:xfrm>
          <a:off x="238125" y="952500"/>
          <a:ext cx="10153650" cy="2181225"/>
          <a:chOff x="257176" y="1228725"/>
          <a:chExt cx="10039349" cy="2057399"/>
        </a:xfrm>
      </xdr:grpSpPr>
      <xdr:graphicFrame macro="">
        <xdr:nvGraphicFramePr>
          <xdr:cNvPr id="3" name="Chart 2"/>
          <xdr:cNvGraphicFramePr/>
        </xdr:nvGraphicFramePr>
        <xdr:xfrm>
          <a:off x="257176" y="1228725"/>
          <a:ext cx="5648324" cy="205739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6" name="Chart 5"/>
          <xdr:cNvGraphicFramePr>
            <a:graphicFrameLocks/>
          </xdr:cNvGraphicFramePr>
        </xdr:nvGraphicFramePr>
        <xdr:xfrm>
          <a:off x="6134100" y="2438399"/>
          <a:ext cx="1943100" cy="82867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7" name="Chart 6"/>
          <xdr:cNvGraphicFramePr>
            <a:graphicFrameLocks/>
          </xdr:cNvGraphicFramePr>
        </xdr:nvGraphicFramePr>
        <xdr:xfrm>
          <a:off x="6134100" y="1362075"/>
          <a:ext cx="1943100" cy="82867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8" name="Chart 7"/>
          <xdr:cNvGraphicFramePr>
            <a:graphicFrameLocks/>
          </xdr:cNvGraphicFramePr>
        </xdr:nvGraphicFramePr>
        <xdr:xfrm>
          <a:off x="8353425" y="1362075"/>
          <a:ext cx="1943100" cy="82867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9" name="Chart 8"/>
          <xdr:cNvGraphicFramePr>
            <a:graphicFrameLocks/>
          </xdr:cNvGraphicFramePr>
        </xdr:nvGraphicFramePr>
        <xdr:xfrm>
          <a:off x="8353425" y="2438399"/>
          <a:ext cx="1943100" cy="828675"/>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11" name="TextBox 10"/>
          <xdr:cNvSpPr txBox="1"/>
        </xdr:nvSpPr>
        <xdr:spPr>
          <a:xfrm>
            <a:off x="6877050" y="1257300"/>
            <a:ext cx="63870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solidFill>
                  <a:schemeClr val="tx1">
                    <a:lumMod val="65000"/>
                    <a:lumOff val="35000"/>
                  </a:schemeClr>
                </a:solidFill>
              </a:rPr>
              <a:t>AIRFRAME</a:t>
            </a:r>
          </a:p>
        </xdr:txBody>
      </xdr:sp>
      <xdr:sp macro="" textlink="">
        <xdr:nvSpPr>
          <xdr:cNvPr id="12" name="TextBox 11"/>
          <xdr:cNvSpPr txBox="1"/>
        </xdr:nvSpPr>
        <xdr:spPr>
          <a:xfrm>
            <a:off x="9229725" y="1257300"/>
            <a:ext cx="36849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solidFill>
                  <a:schemeClr val="tx1">
                    <a:lumMod val="65000"/>
                    <a:lumOff val="35000"/>
                  </a:schemeClr>
                </a:solidFill>
              </a:rPr>
              <a:t>APU</a:t>
            </a:r>
          </a:p>
        </xdr:txBody>
      </xdr:sp>
      <xdr:sp macro="" textlink="">
        <xdr:nvSpPr>
          <xdr:cNvPr id="13" name="TextBox 12"/>
          <xdr:cNvSpPr txBox="1"/>
        </xdr:nvSpPr>
        <xdr:spPr>
          <a:xfrm>
            <a:off x="6775646" y="2333625"/>
            <a:ext cx="84151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solidFill>
                  <a:schemeClr val="tx1">
                    <a:lumMod val="65000"/>
                    <a:lumOff val="35000"/>
                  </a:schemeClr>
                </a:solidFill>
              </a:rPr>
              <a:t>LANDING</a:t>
            </a:r>
            <a:r>
              <a:rPr lang="en-US" sz="800" b="1" baseline="0">
                <a:solidFill>
                  <a:schemeClr val="tx1">
                    <a:lumMod val="65000"/>
                    <a:lumOff val="35000"/>
                  </a:schemeClr>
                </a:solidFill>
              </a:rPr>
              <a:t> GEAR</a:t>
            </a:r>
            <a:endParaRPr lang="en-US" sz="800" b="1">
              <a:solidFill>
                <a:schemeClr val="tx1">
                  <a:lumMod val="65000"/>
                  <a:lumOff val="35000"/>
                </a:schemeClr>
              </a:solidFill>
            </a:endParaRPr>
          </a:p>
        </xdr:txBody>
      </xdr:sp>
      <xdr:sp macro="" textlink="">
        <xdr:nvSpPr>
          <xdr:cNvPr id="14" name="TextBox 13"/>
          <xdr:cNvSpPr txBox="1"/>
        </xdr:nvSpPr>
        <xdr:spPr>
          <a:xfrm>
            <a:off x="9168931" y="2333625"/>
            <a:ext cx="5126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solidFill>
                  <a:schemeClr val="tx1">
                    <a:lumMod val="65000"/>
                    <a:lumOff val="35000"/>
                  </a:schemeClr>
                </a:solidFill>
              </a:rPr>
              <a:t>ENGINE</a:t>
            </a:r>
          </a:p>
        </xdr:txBody>
      </xdr:sp>
      <xdr:sp macro="" textlink="">
        <xdr:nvSpPr>
          <xdr:cNvPr id="15" name="TextBox 14"/>
          <xdr:cNvSpPr txBox="1"/>
        </xdr:nvSpPr>
        <xdr:spPr>
          <a:xfrm>
            <a:off x="2241451" y="1257300"/>
            <a:ext cx="1927964"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solidFill>
                  <a:schemeClr val="tx1">
                    <a:lumMod val="65000"/>
                    <a:lumOff val="35000"/>
                  </a:schemeClr>
                </a:solidFill>
              </a:rPr>
              <a:t>CONSOLIDATE</a:t>
            </a:r>
            <a:r>
              <a:rPr lang="en-US" sz="800" b="1" baseline="0">
                <a:solidFill>
                  <a:schemeClr val="tx1">
                    <a:lumMod val="65000"/>
                    <a:lumOff val="35000"/>
                  </a:schemeClr>
                </a:solidFill>
              </a:rPr>
              <a:t> MAINTENANCE FORECAST</a:t>
            </a:r>
            <a:endParaRPr lang="en-US" sz="800" b="1">
              <a:solidFill>
                <a:schemeClr val="tx1">
                  <a:lumMod val="65000"/>
                  <a:lumOff val="35000"/>
                </a:schemeClr>
              </a:solidFill>
            </a:endParaRPr>
          </a:p>
        </xdr:txBody>
      </xdr:sp>
    </xdr:grpSp>
    <xdr:clientData/>
  </xdr:twoCellAnchor>
  <xdr:twoCellAnchor editAs="oneCell">
    <xdr:from>
      <xdr:col>2</xdr:col>
      <xdr:colOff>38100</xdr:colOff>
      <xdr:row>4</xdr:row>
      <xdr:rowOff>76200</xdr:rowOff>
    </xdr:from>
    <xdr:to>
      <xdr:col>5</xdr:col>
      <xdr:colOff>95250</xdr:colOff>
      <xdr:row>6</xdr:row>
      <xdr:rowOff>133350</xdr:rowOff>
    </xdr:to>
    <xdr:pic>
      <xdr:nvPicPr>
        <xdr:cNvPr id="16" name="Picture 15">
          <a:hlinkClick xmlns:r="http://schemas.openxmlformats.org/officeDocument/2006/relationships" r:id="rId6"/>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7650" y="371475"/>
          <a:ext cx="12763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ECA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0"/>
  <sheetViews>
    <sheetView topLeftCell="XFD1" workbookViewId="0">
      <selection sqref="A1:XFD1048576"/>
    </sheetView>
  </sheetViews>
  <sheetFormatPr defaultColWidth="0" defaultRowHeight="11.25" zeroHeight="1" x14ac:dyDescent="0.2"/>
  <cols>
    <col min="1" max="1" width="1.85546875" style="9" hidden="1" customWidth="1"/>
    <col min="2" max="2" width="7.42578125" style="9" hidden="1" customWidth="1"/>
    <col min="3" max="3" width="7.5703125" style="9" hidden="1" customWidth="1"/>
    <col min="4" max="4" width="12" style="9" hidden="1" customWidth="1"/>
    <col min="5" max="5" width="6.7109375" style="9" hidden="1" customWidth="1"/>
    <col min="6" max="7" width="7.7109375" style="9" hidden="1" customWidth="1"/>
    <col min="8" max="8" width="10.42578125" style="9" hidden="1" customWidth="1"/>
    <col min="9" max="9" width="4.85546875" style="9" hidden="1" customWidth="1"/>
    <col min="10" max="10" width="8.140625" style="8" hidden="1" customWidth="1"/>
    <col min="11" max="11" width="6.5703125" style="9" hidden="1" customWidth="1"/>
    <col min="12" max="12" width="7.85546875" style="9" hidden="1" customWidth="1"/>
    <col min="13" max="13" width="8.85546875" style="9" hidden="1" customWidth="1"/>
    <col min="14" max="14" width="4.85546875" style="9" hidden="1" customWidth="1"/>
    <col min="15" max="15" width="7" style="9" hidden="1" customWidth="1"/>
    <col min="16" max="17" width="7.85546875" style="9" hidden="1" customWidth="1"/>
    <col min="18" max="18" width="1.7109375" style="9" hidden="1" customWidth="1"/>
    <col min="19" max="19" width="5.85546875" style="22" hidden="1" customWidth="1"/>
    <col min="20" max="20" width="5.140625" style="22" hidden="1" customWidth="1"/>
    <col min="21" max="21" width="11.85546875" style="9" hidden="1" customWidth="1"/>
    <col min="22" max="22" width="10.85546875" style="9" hidden="1" customWidth="1"/>
    <col min="23" max="23" width="27.28515625" style="9" hidden="1" customWidth="1"/>
    <col min="24" max="24" width="5.28515625" style="8" hidden="1" customWidth="1"/>
    <col min="25" max="30" width="6" style="9" hidden="1" customWidth="1"/>
    <col min="31" max="31" width="7" style="9" hidden="1" customWidth="1"/>
    <col min="32" max="32" width="8.42578125" style="9" hidden="1" customWidth="1"/>
    <col min="33" max="33" width="1.7109375" style="9" hidden="1" customWidth="1"/>
    <col min="34" max="34" width="11.28515625" style="9" hidden="1" customWidth="1"/>
    <col min="35" max="35" width="5.42578125" style="9" hidden="1" customWidth="1"/>
    <col min="36" max="36" width="7.7109375" style="9" hidden="1" customWidth="1"/>
    <col min="37" max="37" width="5.7109375" style="9" hidden="1" customWidth="1"/>
    <col min="38" max="38" width="4.5703125" style="9" hidden="1" customWidth="1"/>
    <col min="39" max="39" width="5.7109375" style="9" hidden="1" customWidth="1"/>
    <col min="40" max="40" width="7.85546875" style="9" hidden="1" customWidth="1"/>
    <col min="41" max="42" width="5.7109375" style="9" hidden="1" customWidth="1"/>
    <col min="43" max="43" width="9.5703125" style="9" hidden="1" customWidth="1"/>
    <col min="44" max="44" width="5.7109375" style="9" hidden="1" customWidth="1"/>
    <col min="45" max="45" width="5.28515625" style="9" hidden="1" customWidth="1"/>
    <col min="46" max="46" width="6.5703125" style="9" hidden="1" customWidth="1"/>
    <col min="47" max="47" width="5.5703125" style="9" hidden="1" customWidth="1"/>
    <col min="48" max="48" width="5.42578125" style="9" hidden="1" customWidth="1"/>
    <col min="49" max="50" width="6.5703125" style="9" hidden="1" customWidth="1"/>
    <col min="51" max="51" width="1" style="9" hidden="1" customWidth="1"/>
    <col min="52" max="52" width="8.28515625" style="9" hidden="1" customWidth="1"/>
    <col min="53" max="53" width="9.85546875" style="9" hidden="1" customWidth="1"/>
    <col min="54" max="55" width="8.28515625" style="9" hidden="1" customWidth="1"/>
    <col min="56" max="56" width="5.7109375" style="9" hidden="1" customWidth="1"/>
    <col min="57" max="57" width="6" style="9" hidden="1" customWidth="1"/>
    <col min="58" max="58" width="9.42578125" style="9" hidden="1" customWidth="1"/>
    <col min="59" max="59" width="9" style="9" hidden="1" customWidth="1"/>
    <col min="60" max="60" width="7.85546875" style="9" hidden="1" customWidth="1"/>
    <col min="61" max="61" width="5.7109375" style="9" hidden="1" customWidth="1"/>
    <col min="62" max="62" width="1" style="9" hidden="1" customWidth="1"/>
    <col min="63" max="63" width="5.140625" style="9" hidden="1" customWidth="1"/>
    <col min="64" max="71" width="9.28515625" style="9" hidden="1" customWidth="1"/>
    <col min="72" max="72" width="0.85546875" style="9" hidden="1" customWidth="1"/>
    <col min="73" max="73" width="9.140625" style="9" hidden="1" customWidth="1"/>
    <col min="74" max="77" width="5.7109375" style="9" hidden="1" customWidth="1"/>
    <col min="78" max="78" width="5.42578125" style="9" hidden="1" customWidth="1"/>
    <col min="79" max="79" width="2" style="9" hidden="1" customWidth="1"/>
    <col min="80" max="16384" width="9.140625" style="9" hidden="1"/>
  </cols>
  <sheetData>
    <row r="1" spans="2:78" ht="4.5" customHeight="1" x14ac:dyDescent="0.2"/>
    <row r="2" spans="2:78" x14ac:dyDescent="0.2">
      <c r="B2" s="371" t="s">
        <v>170</v>
      </c>
      <c r="C2" s="367"/>
      <c r="D2" s="368"/>
      <c r="E2" s="371"/>
      <c r="F2" s="371"/>
      <c r="G2" s="371"/>
      <c r="H2" s="371"/>
      <c r="I2" s="371"/>
      <c r="J2" s="372"/>
      <c r="K2" s="371"/>
      <c r="L2" s="371"/>
      <c r="M2" s="371"/>
      <c r="N2" s="150"/>
      <c r="O2" s="150"/>
      <c r="P2" s="150"/>
      <c r="Q2" s="150"/>
      <c r="S2" s="373" t="s">
        <v>174</v>
      </c>
      <c r="T2" s="373"/>
      <c r="U2" s="373"/>
      <c r="V2" s="374"/>
      <c r="W2" s="374"/>
      <c r="X2" s="416"/>
      <c r="Y2" s="374"/>
      <c r="Z2" s="374"/>
      <c r="AA2" s="374"/>
      <c r="AB2" s="374"/>
      <c r="AC2" s="374"/>
      <c r="AD2" s="374"/>
      <c r="AE2" s="374"/>
      <c r="AF2" s="153"/>
      <c r="AG2" s="70"/>
      <c r="AH2" s="373" t="s">
        <v>177</v>
      </c>
      <c r="AI2" s="374"/>
      <c r="AJ2" s="374"/>
      <c r="AK2" s="374"/>
      <c r="AL2" s="374"/>
      <c r="AM2" s="374"/>
      <c r="AN2" s="374"/>
      <c r="AO2" s="374"/>
      <c r="AP2" s="374"/>
      <c r="AQ2" s="374"/>
      <c r="AR2" s="153"/>
      <c r="AS2" s="153"/>
      <c r="AT2" s="153"/>
      <c r="AU2" s="153"/>
      <c r="AV2" s="153"/>
      <c r="AW2" s="153"/>
      <c r="AX2" s="153"/>
      <c r="AY2" s="70"/>
      <c r="AZ2" s="375" t="s">
        <v>185</v>
      </c>
      <c r="BA2" s="375" t="s">
        <v>185</v>
      </c>
      <c r="BB2" s="371"/>
      <c r="BC2" s="371"/>
      <c r="BD2" s="371"/>
      <c r="BE2" s="371"/>
      <c r="BF2" s="371"/>
      <c r="BG2" s="371"/>
      <c r="BH2" s="371"/>
      <c r="BI2" s="371"/>
      <c r="BJ2" s="70"/>
      <c r="BK2" s="371" t="s">
        <v>483</v>
      </c>
      <c r="BL2" s="371"/>
      <c r="BM2" s="371"/>
      <c r="BN2" s="371"/>
      <c r="BO2" s="371"/>
      <c r="BP2" s="371"/>
      <c r="BQ2" s="371"/>
      <c r="BR2" s="371"/>
      <c r="BS2" s="371"/>
      <c r="BT2" s="371"/>
      <c r="BU2" s="371"/>
      <c r="BV2" s="371"/>
      <c r="BW2" s="371"/>
      <c r="BX2" s="371"/>
      <c r="BY2" s="371"/>
      <c r="BZ2" s="371"/>
    </row>
    <row r="3" spans="2:78" x14ac:dyDescent="0.2">
      <c r="B3" s="479" t="s">
        <v>171</v>
      </c>
      <c r="C3" s="479"/>
      <c r="D3" s="189"/>
      <c r="E3" s="479" t="s">
        <v>172</v>
      </c>
      <c r="F3" s="479"/>
      <c r="G3" s="482"/>
      <c r="H3" s="483" t="s">
        <v>5</v>
      </c>
      <c r="I3" s="479"/>
      <c r="J3" s="479"/>
      <c r="K3" s="479"/>
      <c r="L3" s="482"/>
      <c r="M3" s="484" t="s">
        <v>6</v>
      </c>
      <c r="N3" s="485"/>
      <c r="O3" s="485"/>
      <c r="P3" s="485"/>
      <c r="Q3" s="485"/>
      <c r="R3" s="154"/>
      <c r="S3" s="190"/>
      <c r="T3" s="190"/>
      <c r="U3" s="191"/>
      <c r="V3" s="192"/>
      <c r="W3" s="193"/>
      <c r="X3" s="193"/>
      <c r="Y3" s="480" t="s">
        <v>172</v>
      </c>
      <c r="Z3" s="481"/>
      <c r="AA3" s="478"/>
      <c r="AB3" s="480" t="s">
        <v>188</v>
      </c>
      <c r="AC3" s="481"/>
      <c r="AD3" s="478"/>
      <c r="AE3" s="192"/>
      <c r="AF3" s="192"/>
      <c r="AG3" s="154"/>
      <c r="AH3" s="194" t="s">
        <v>4</v>
      </c>
      <c r="AI3" s="195" t="s">
        <v>4</v>
      </c>
      <c r="AJ3" s="195" t="s">
        <v>4</v>
      </c>
      <c r="AK3" s="195" t="s">
        <v>4</v>
      </c>
      <c r="AL3" s="196" t="s">
        <v>178</v>
      </c>
      <c r="AM3" s="480" t="s">
        <v>5</v>
      </c>
      <c r="AN3" s="481"/>
      <c r="AO3" s="478"/>
      <c r="AP3" s="480" t="s">
        <v>6</v>
      </c>
      <c r="AQ3" s="481"/>
      <c r="AR3" s="478"/>
      <c r="AS3" s="477" t="s">
        <v>179</v>
      </c>
      <c r="AT3" s="478"/>
      <c r="AU3" s="477" t="s">
        <v>198</v>
      </c>
      <c r="AV3" s="478"/>
      <c r="AW3" s="477" t="s">
        <v>180</v>
      </c>
      <c r="AX3" s="478"/>
      <c r="AY3" s="154"/>
      <c r="AZ3" s="479" t="s">
        <v>428</v>
      </c>
      <c r="BA3" s="479"/>
      <c r="BB3" s="479"/>
      <c r="BC3" s="479"/>
      <c r="BD3" s="482"/>
      <c r="BE3" s="486" t="s">
        <v>429</v>
      </c>
      <c r="BF3" s="486"/>
      <c r="BG3" s="486"/>
      <c r="BH3" s="486"/>
      <c r="BI3" s="486"/>
      <c r="BJ3" s="154"/>
      <c r="BK3" s="197" t="s">
        <v>21</v>
      </c>
      <c r="BL3" s="474" t="s">
        <v>30</v>
      </c>
      <c r="BM3" s="475"/>
      <c r="BN3" s="475"/>
      <c r="BO3" s="476"/>
      <c r="BP3" s="474" t="s">
        <v>31</v>
      </c>
      <c r="BQ3" s="475"/>
      <c r="BR3" s="475"/>
      <c r="BS3" s="476"/>
      <c r="BT3" s="198"/>
      <c r="BU3" s="301" t="s">
        <v>210</v>
      </c>
      <c r="BV3" s="302"/>
      <c r="BW3" s="302"/>
      <c r="BX3" s="305" t="s">
        <v>453</v>
      </c>
      <c r="BY3" s="305" t="s">
        <v>454</v>
      </c>
      <c r="BZ3" s="303" t="s">
        <v>17</v>
      </c>
    </row>
    <row r="4" spans="2:78" x14ac:dyDescent="0.2">
      <c r="B4" s="199" t="s">
        <v>14</v>
      </c>
      <c r="C4" s="200" t="s">
        <v>2</v>
      </c>
      <c r="D4" s="201"/>
      <c r="E4" s="202" t="s">
        <v>11</v>
      </c>
      <c r="F4" s="203" t="s">
        <v>12</v>
      </c>
      <c r="G4" s="203" t="s">
        <v>13</v>
      </c>
      <c r="H4" s="203" t="s">
        <v>3</v>
      </c>
      <c r="I4" s="203" t="s">
        <v>259</v>
      </c>
      <c r="J4" s="203" t="s">
        <v>173</v>
      </c>
      <c r="K4" s="203" t="s">
        <v>16</v>
      </c>
      <c r="L4" s="203" t="s">
        <v>17</v>
      </c>
      <c r="M4" s="203" t="s">
        <v>3</v>
      </c>
      <c r="N4" s="203" t="s">
        <v>259</v>
      </c>
      <c r="O4" s="203" t="s">
        <v>173</v>
      </c>
      <c r="P4" s="203" t="s">
        <v>16</v>
      </c>
      <c r="Q4" s="203" t="s">
        <v>17</v>
      </c>
      <c r="R4" s="154"/>
      <c r="S4" s="199" t="s">
        <v>14</v>
      </c>
      <c r="T4" s="199" t="s">
        <v>260</v>
      </c>
      <c r="U4" s="199" t="s">
        <v>175</v>
      </c>
      <c r="V4" s="204" t="s">
        <v>2</v>
      </c>
      <c r="W4" s="204"/>
      <c r="X4" s="228" t="s">
        <v>132</v>
      </c>
      <c r="Y4" s="203" t="s">
        <v>11</v>
      </c>
      <c r="Z4" s="203" t="s">
        <v>12</v>
      </c>
      <c r="AA4" s="203" t="s">
        <v>13</v>
      </c>
      <c r="AB4" s="203" t="s">
        <v>11</v>
      </c>
      <c r="AC4" s="203" t="s">
        <v>12</v>
      </c>
      <c r="AD4" s="203" t="s">
        <v>13</v>
      </c>
      <c r="AE4" s="201" t="s">
        <v>3</v>
      </c>
      <c r="AF4" s="201" t="s">
        <v>176</v>
      </c>
      <c r="AG4" s="154"/>
      <c r="AH4" s="205" t="s">
        <v>7</v>
      </c>
      <c r="AI4" s="206" t="s">
        <v>350</v>
      </c>
      <c r="AJ4" s="206" t="s">
        <v>52</v>
      </c>
      <c r="AK4" s="206" t="s">
        <v>8</v>
      </c>
      <c r="AL4" s="207" t="s">
        <v>89</v>
      </c>
      <c r="AM4" s="208" t="s">
        <v>13</v>
      </c>
      <c r="AN4" s="208" t="s">
        <v>32</v>
      </c>
      <c r="AO4" s="208" t="s">
        <v>9</v>
      </c>
      <c r="AP4" s="209" t="s">
        <v>13</v>
      </c>
      <c r="AQ4" s="206" t="s">
        <v>32</v>
      </c>
      <c r="AR4" s="206" t="s">
        <v>197</v>
      </c>
      <c r="AS4" s="210" t="s">
        <v>16</v>
      </c>
      <c r="AT4" s="203" t="s">
        <v>17</v>
      </c>
      <c r="AU4" s="210" t="s">
        <v>181</v>
      </c>
      <c r="AV4" s="203" t="s">
        <v>182</v>
      </c>
      <c r="AW4" s="210" t="s">
        <v>181</v>
      </c>
      <c r="AX4" s="203" t="s">
        <v>182</v>
      </c>
      <c r="AY4" s="154"/>
      <c r="AZ4" s="363" t="s">
        <v>150</v>
      </c>
      <c r="BA4" s="364" t="s">
        <v>142</v>
      </c>
      <c r="BB4" s="365" t="s">
        <v>41</v>
      </c>
      <c r="BC4" s="365" t="s">
        <v>15</v>
      </c>
      <c r="BD4" s="365" t="s">
        <v>196</v>
      </c>
      <c r="BE4" s="376" t="s">
        <v>150</v>
      </c>
      <c r="BF4" s="377" t="s">
        <v>142</v>
      </c>
      <c r="BG4" s="378" t="s">
        <v>41</v>
      </c>
      <c r="BH4" s="378" t="s">
        <v>15</v>
      </c>
      <c r="BI4" s="378" t="s">
        <v>196</v>
      </c>
      <c r="BJ4" s="154"/>
      <c r="BK4" s="211" t="s">
        <v>22</v>
      </c>
      <c r="BL4" s="212" t="s">
        <v>28</v>
      </c>
      <c r="BM4" s="212" t="s">
        <v>183</v>
      </c>
      <c r="BN4" s="212" t="s">
        <v>29</v>
      </c>
      <c r="BO4" s="212" t="s">
        <v>184</v>
      </c>
      <c r="BP4" s="212" t="s">
        <v>28</v>
      </c>
      <c r="BQ4" s="212" t="s">
        <v>183</v>
      </c>
      <c r="BR4" s="212" t="s">
        <v>29</v>
      </c>
      <c r="BS4" s="212" t="s">
        <v>184</v>
      </c>
      <c r="BT4" s="213"/>
      <c r="BU4" s="212" t="s">
        <v>25</v>
      </c>
      <c r="BV4" s="212" t="s">
        <v>19</v>
      </c>
      <c r="BW4" s="212" t="s">
        <v>18</v>
      </c>
      <c r="BX4" s="212" t="s">
        <v>19</v>
      </c>
      <c r="BY4" s="212" t="s">
        <v>19</v>
      </c>
      <c r="BZ4" s="212" t="s">
        <v>19</v>
      </c>
    </row>
    <row r="5" spans="2:78" x14ac:dyDescent="0.2">
      <c r="B5" s="319" t="s">
        <v>371</v>
      </c>
      <c r="C5" s="319" t="s">
        <v>191</v>
      </c>
      <c r="D5" s="319" t="str">
        <f t="shared" ref="D5:D12" si="0">IF(B5="","",B5&amp;C5)</f>
        <v>A318-100A-Check</v>
      </c>
      <c r="E5" s="379">
        <v>4</v>
      </c>
      <c r="F5" s="380">
        <v>750</v>
      </c>
      <c r="G5" s="380">
        <v>750</v>
      </c>
      <c r="H5" s="380">
        <v>9270</v>
      </c>
      <c r="I5" s="381">
        <f t="shared" ref="I5:I12" si="1">IF(OR(E5="",H5=""),"",ROUND((H5/E5)/(3000/12),2))</f>
        <v>9.27</v>
      </c>
      <c r="J5" s="380">
        <v>2000</v>
      </c>
      <c r="K5" s="382">
        <f>IF(OR(H5="",J5=""),"",H5-J5)</f>
        <v>7270</v>
      </c>
      <c r="L5" s="382">
        <f>IF(OR(H5="",J5=""),"",H5+J5)</f>
        <v>11270</v>
      </c>
      <c r="M5" s="380"/>
      <c r="N5" s="383" t="str">
        <f>IF(OR(E5="",M5=""),"",ROUND((M5/E5)/(3000/12),1))</f>
        <v/>
      </c>
      <c r="O5" s="380"/>
      <c r="P5" s="382" t="str">
        <f>IF(OR(M5="",O5=""),"",M5-O5)</f>
        <v/>
      </c>
      <c r="Q5" s="382" t="str">
        <f>IF(OR(M5="",O5=""),"",M5+O5)</f>
        <v/>
      </c>
      <c r="R5" s="154"/>
      <c r="S5" s="166" t="s">
        <v>378</v>
      </c>
      <c r="T5" s="161" t="s">
        <v>215</v>
      </c>
      <c r="U5" s="161" t="s">
        <v>286</v>
      </c>
      <c r="V5" s="161"/>
      <c r="W5" s="161"/>
      <c r="X5" s="162">
        <v>2</v>
      </c>
      <c r="Y5" s="158">
        <v>120</v>
      </c>
      <c r="Z5" s="158"/>
      <c r="AA5" s="158">
        <v>20000</v>
      </c>
      <c r="AB5" s="163"/>
      <c r="AC5" s="163"/>
      <c r="AD5" s="163"/>
      <c r="AE5" s="158">
        <v>298700</v>
      </c>
      <c r="AF5" s="158">
        <v>20000</v>
      </c>
      <c r="AG5" s="154"/>
      <c r="AH5" s="319" t="s">
        <v>380</v>
      </c>
      <c r="AI5" s="246" t="s">
        <v>408</v>
      </c>
      <c r="AJ5" s="323" t="s">
        <v>426</v>
      </c>
      <c r="AK5" s="324">
        <v>21600</v>
      </c>
      <c r="AL5" s="325">
        <v>2</v>
      </c>
      <c r="AM5" s="380">
        <v>17000</v>
      </c>
      <c r="AN5" s="384">
        <v>2200000</v>
      </c>
      <c r="AO5" s="159">
        <f>IF(OR(AM5="",AN5=""),"",AN5/(AM5*AL5))</f>
        <v>64.705882352941174</v>
      </c>
      <c r="AP5" s="380">
        <f>ROUND(75%*AM5,-3)</f>
        <v>13000</v>
      </c>
      <c r="AQ5" s="380">
        <f>AN5*1.05</f>
        <v>2310000</v>
      </c>
      <c r="AR5" s="159">
        <f t="shared" ref="AR5:AR48" si="2">IF(OR(AP5="",AQ5=""),"",AQ5/(AP5*AL5))</f>
        <v>88.84615384615384</v>
      </c>
      <c r="AS5" s="330">
        <v>5000</v>
      </c>
      <c r="AT5" s="330">
        <v>13000</v>
      </c>
      <c r="AU5" s="332">
        <v>1000</v>
      </c>
      <c r="AV5" s="332">
        <v>2000</v>
      </c>
      <c r="AW5" s="332">
        <v>150000</v>
      </c>
      <c r="AX5" s="332">
        <v>200000</v>
      </c>
      <c r="AY5" s="154"/>
      <c r="AZ5" s="164" t="s">
        <v>151</v>
      </c>
      <c r="BA5" s="165" t="s">
        <v>155</v>
      </c>
      <c r="BB5" s="385">
        <v>30000</v>
      </c>
      <c r="BC5" s="417">
        <v>263600</v>
      </c>
      <c r="BD5" s="181">
        <f t="shared" ref="BD5:BD29" si="3">IF(BB5="","",ROUND(BC5/BB5,1))</f>
        <v>8.8000000000000007</v>
      </c>
      <c r="BE5" s="18" t="s">
        <v>151</v>
      </c>
      <c r="BF5" s="334" t="s">
        <v>430</v>
      </c>
      <c r="BG5" s="385">
        <v>20000</v>
      </c>
      <c r="BH5" s="385">
        <v>147630</v>
      </c>
      <c r="BI5" s="386">
        <f>IF(BG5="","",ROUND(BH5/BG5,1))</f>
        <v>7.4</v>
      </c>
      <c r="BK5" s="20">
        <v>1</v>
      </c>
      <c r="BL5" s="58">
        <v>1.6</v>
      </c>
      <c r="BM5" s="58">
        <v>0.95</v>
      </c>
      <c r="BN5" s="58">
        <v>1.7</v>
      </c>
      <c r="BO5" s="58">
        <v>0.95</v>
      </c>
      <c r="BP5" s="58">
        <v>1.6419999999999999</v>
      </c>
      <c r="BQ5" s="58">
        <v>0.97</v>
      </c>
      <c r="BR5" s="58">
        <v>1.7</v>
      </c>
      <c r="BS5" s="58">
        <v>0.97</v>
      </c>
      <c r="BT5" s="71"/>
      <c r="BU5" s="164" t="s">
        <v>1</v>
      </c>
      <c r="BV5" s="184">
        <v>1</v>
      </c>
      <c r="BW5" s="185">
        <v>0</v>
      </c>
      <c r="BX5" s="186">
        <v>1.0249999999999999</v>
      </c>
      <c r="BY5" s="188">
        <f t="shared" ref="BY5:BY13" si="4">BY6+0.012</f>
        <v>1.1200000000000001</v>
      </c>
      <c r="BZ5" s="188">
        <f t="shared" ref="BZ5:BZ13" si="5">BZ6+0.015</f>
        <v>1.149999999999999</v>
      </c>
    </row>
    <row r="6" spans="2:78" x14ac:dyDescent="0.2">
      <c r="B6" s="318" t="s">
        <v>371</v>
      </c>
      <c r="C6" s="320" t="s">
        <v>456</v>
      </c>
      <c r="D6" s="318" t="str">
        <f t="shared" si="0"/>
        <v>A318-1001C-Check</v>
      </c>
      <c r="E6" s="387">
        <v>18</v>
      </c>
      <c r="F6" s="384">
        <v>6000</v>
      </c>
      <c r="G6" s="384">
        <v>4500</v>
      </c>
      <c r="H6" s="384">
        <v>144200</v>
      </c>
      <c r="I6" s="381">
        <f t="shared" si="1"/>
        <v>32.04</v>
      </c>
      <c r="J6" s="384">
        <v>20000</v>
      </c>
      <c r="K6" s="382">
        <f>IF(OR(H6="",J6=""),"",H6-J6)</f>
        <v>124200</v>
      </c>
      <c r="L6" s="382">
        <f>IF(OR(H6="",J6=""),"",H6+J6)</f>
        <v>164200</v>
      </c>
      <c r="M6" s="384">
        <f>H6*1.2</f>
        <v>173040</v>
      </c>
      <c r="N6" s="383">
        <f t="shared" ref="N6:N12" si="6">IF(OR(E6="",M6=""),"",ROUND((M6/E6)/(3000/12),2))</f>
        <v>38.450000000000003</v>
      </c>
      <c r="O6" s="384">
        <v>40000</v>
      </c>
      <c r="P6" s="382">
        <f>IF(OR(M6="",O6=""),"",M6-O6)</f>
        <v>133040</v>
      </c>
      <c r="Q6" s="382">
        <f>IF(OR(M6="",O6=""),"",M6+O6)</f>
        <v>213040</v>
      </c>
      <c r="R6" s="154"/>
      <c r="S6" s="166" t="s">
        <v>378</v>
      </c>
      <c r="T6" s="161" t="s">
        <v>215</v>
      </c>
      <c r="U6" s="161" t="s">
        <v>287</v>
      </c>
      <c r="V6" s="161"/>
      <c r="W6" s="161"/>
      <c r="X6" s="162">
        <v>1</v>
      </c>
      <c r="Y6" s="158">
        <v>120</v>
      </c>
      <c r="Z6" s="158"/>
      <c r="AA6" s="158">
        <v>20000</v>
      </c>
      <c r="AB6" s="163"/>
      <c r="AC6" s="163"/>
      <c r="AD6" s="163"/>
      <c r="AE6" s="169">
        <v>149350</v>
      </c>
      <c r="AF6" s="169">
        <v>10000</v>
      </c>
      <c r="AG6" s="154"/>
      <c r="AH6" s="318" t="s">
        <v>381</v>
      </c>
      <c r="AI6" s="246" t="s">
        <v>409</v>
      </c>
      <c r="AJ6" s="326" t="s">
        <v>426</v>
      </c>
      <c r="AK6" s="327">
        <v>21600</v>
      </c>
      <c r="AL6" s="325">
        <v>2</v>
      </c>
      <c r="AM6" s="384">
        <v>17500</v>
      </c>
      <c r="AN6" s="384">
        <v>2200000</v>
      </c>
      <c r="AO6" s="159">
        <f t="shared" ref="AO6:AO48" si="7">IF(OR(AM6="",AN6=""),"",AN6/(AM6*AL6))</f>
        <v>62.857142857142854</v>
      </c>
      <c r="AP6" s="380">
        <f>ROUND(75%*AM6,-3)</f>
        <v>13000</v>
      </c>
      <c r="AQ6" s="380">
        <f>AN6*1.05</f>
        <v>2310000</v>
      </c>
      <c r="AR6" s="159">
        <f t="shared" si="2"/>
        <v>88.84615384615384</v>
      </c>
      <c r="AS6" s="331">
        <v>5000</v>
      </c>
      <c r="AT6" s="331">
        <v>13000</v>
      </c>
      <c r="AU6" s="333">
        <v>1000</v>
      </c>
      <c r="AV6" s="333">
        <v>2000</v>
      </c>
      <c r="AW6" s="333">
        <v>150000</v>
      </c>
      <c r="AX6" s="333">
        <v>200000</v>
      </c>
      <c r="AY6" s="154"/>
      <c r="AZ6" s="164" t="str">
        <f>""</f>
        <v/>
      </c>
      <c r="BA6" s="174" t="s">
        <v>156</v>
      </c>
      <c r="BB6" s="388">
        <v>30000</v>
      </c>
      <c r="BC6" s="389">
        <v>180900</v>
      </c>
      <c r="BD6" s="182">
        <f t="shared" si="3"/>
        <v>6</v>
      </c>
      <c r="BE6" s="14" t="str">
        <f>""</f>
        <v/>
      </c>
      <c r="BF6" s="335" t="s">
        <v>431</v>
      </c>
      <c r="BG6" s="388">
        <v>20000</v>
      </c>
      <c r="BH6" s="388">
        <v>35270</v>
      </c>
      <c r="BI6" s="390">
        <f t="shared" ref="BI6:BI29" si="8">IF(BG6="","",ROUND(BH6/BG6,1))</f>
        <v>1.8</v>
      </c>
      <c r="BK6" s="20">
        <v>1.25</v>
      </c>
      <c r="BL6" s="58">
        <v>1.35</v>
      </c>
      <c r="BM6" s="58">
        <v>0.96</v>
      </c>
      <c r="BN6" s="58">
        <v>1.425</v>
      </c>
      <c r="BO6" s="58">
        <v>0.96</v>
      </c>
      <c r="BP6" s="58">
        <v>1.365</v>
      </c>
      <c r="BQ6" s="58">
        <v>0.97499999999999998</v>
      </c>
      <c r="BR6" s="58">
        <v>1.425</v>
      </c>
      <c r="BS6" s="58">
        <v>0.97499999999999998</v>
      </c>
      <c r="BT6" s="71"/>
      <c r="BU6" s="164" t="s">
        <v>20</v>
      </c>
      <c r="BV6" s="187">
        <v>1.2</v>
      </c>
      <c r="BW6" s="185">
        <v>0.01</v>
      </c>
      <c r="BX6" s="188">
        <v>1.0225</v>
      </c>
      <c r="BY6" s="188">
        <f t="shared" si="4"/>
        <v>1.1080000000000001</v>
      </c>
      <c r="BZ6" s="188">
        <f t="shared" si="5"/>
        <v>1.1349999999999991</v>
      </c>
    </row>
    <row r="7" spans="2:78" x14ac:dyDescent="0.2">
      <c r="B7" s="318" t="s">
        <v>371</v>
      </c>
      <c r="C7" s="320" t="s">
        <v>457</v>
      </c>
      <c r="D7" s="318" t="str">
        <f t="shared" si="0"/>
        <v>A318-1002C-Check</v>
      </c>
      <c r="E7" s="387">
        <v>18</v>
      </c>
      <c r="F7" s="384"/>
      <c r="G7" s="384"/>
      <c r="H7" s="384">
        <f>H6+35000</f>
        <v>179200</v>
      </c>
      <c r="I7" s="381">
        <f t="shared" si="1"/>
        <v>39.82</v>
      </c>
      <c r="J7" s="384"/>
      <c r="K7" s="382"/>
      <c r="L7" s="382"/>
      <c r="M7" s="384">
        <f>H7*1.2</f>
        <v>215040</v>
      </c>
      <c r="N7" s="383">
        <f t="shared" si="6"/>
        <v>47.79</v>
      </c>
      <c r="O7" s="384"/>
      <c r="P7" s="382"/>
      <c r="Q7" s="382"/>
      <c r="R7" s="144"/>
      <c r="S7" s="166" t="s">
        <v>378</v>
      </c>
      <c r="T7" s="161" t="s">
        <v>215</v>
      </c>
      <c r="U7" s="175" t="s">
        <v>66</v>
      </c>
      <c r="V7" s="175"/>
      <c r="W7" s="175"/>
      <c r="X7" s="176">
        <v>1</v>
      </c>
      <c r="Y7" s="169"/>
      <c r="Z7" s="169">
        <v>6500</v>
      </c>
      <c r="AA7" s="169"/>
      <c r="AB7" s="173"/>
      <c r="AC7" s="173">
        <v>500</v>
      </c>
      <c r="AD7" s="173"/>
      <c r="AE7" s="169">
        <v>248100</v>
      </c>
      <c r="AF7" s="169">
        <v>20000</v>
      </c>
      <c r="AG7" s="154"/>
      <c r="AH7" s="321"/>
      <c r="AI7" s="166"/>
      <c r="AJ7" s="321"/>
      <c r="AK7" s="321"/>
      <c r="AL7" s="328"/>
      <c r="AM7" s="391"/>
      <c r="AN7" s="392"/>
      <c r="AO7" s="159"/>
      <c r="AP7" s="391"/>
      <c r="AQ7" s="391"/>
      <c r="AR7" s="159"/>
      <c r="AS7" s="393"/>
      <c r="AT7" s="393"/>
      <c r="AU7" s="393"/>
      <c r="AV7" s="393"/>
      <c r="AW7" s="393"/>
      <c r="AX7" s="393"/>
      <c r="AY7" s="154"/>
      <c r="AZ7" s="164" t="str">
        <f>""</f>
        <v/>
      </c>
      <c r="BA7" s="174" t="s">
        <v>157</v>
      </c>
      <c r="BB7" s="388">
        <v>30000</v>
      </c>
      <c r="BC7" s="389">
        <v>131000</v>
      </c>
      <c r="BD7" s="182">
        <f t="shared" si="3"/>
        <v>4.4000000000000004</v>
      </c>
      <c r="BE7" s="14" t="str">
        <f>""</f>
        <v/>
      </c>
      <c r="BF7" s="335" t="s">
        <v>432</v>
      </c>
      <c r="BG7" s="388">
        <v>20000</v>
      </c>
      <c r="BH7" s="388">
        <v>243540</v>
      </c>
      <c r="BI7" s="390">
        <f t="shared" si="8"/>
        <v>12.2</v>
      </c>
      <c r="BK7" s="20">
        <v>1.5</v>
      </c>
      <c r="BL7" s="49">
        <v>1.2</v>
      </c>
      <c r="BM7" s="49">
        <v>0.97</v>
      </c>
      <c r="BN7" s="49">
        <v>1.25</v>
      </c>
      <c r="BO7" s="49">
        <v>0.97</v>
      </c>
      <c r="BP7" s="49">
        <v>1.165</v>
      </c>
      <c r="BQ7" s="49">
        <v>0.98</v>
      </c>
      <c r="BR7" s="49">
        <v>1.25</v>
      </c>
      <c r="BS7" s="49">
        <v>0.98</v>
      </c>
      <c r="BT7" s="71"/>
      <c r="BU7" s="164" t="s">
        <v>258</v>
      </c>
      <c r="BV7" s="187">
        <v>1.3</v>
      </c>
      <c r="BW7" s="185">
        <v>0.02</v>
      </c>
      <c r="BX7" s="188">
        <v>1.02</v>
      </c>
      <c r="BY7" s="188">
        <f t="shared" si="4"/>
        <v>1.0960000000000001</v>
      </c>
      <c r="BZ7" s="188">
        <f t="shared" si="5"/>
        <v>1.1199999999999992</v>
      </c>
    </row>
    <row r="8" spans="2:78" x14ac:dyDescent="0.2">
      <c r="B8" s="318" t="s">
        <v>371</v>
      </c>
      <c r="C8" s="320" t="s">
        <v>265</v>
      </c>
      <c r="D8" s="318" t="str">
        <f t="shared" si="0"/>
        <v>A318-100C-Check</v>
      </c>
      <c r="E8" s="387">
        <v>18</v>
      </c>
      <c r="F8" s="384"/>
      <c r="G8" s="384"/>
      <c r="H8" s="384">
        <f>AVERAGE(H6:H7)</f>
        <v>161700</v>
      </c>
      <c r="I8" s="381">
        <f t="shared" si="1"/>
        <v>35.93</v>
      </c>
      <c r="J8" s="384"/>
      <c r="K8" s="382"/>
      <c r="L8" s="382"/>
      <c r="M8" s="384">
        <f>H8*1.2</f>
        <v>194040</v>
      </c>
      <c r="N8" s="383">
        <f t="shared" si="6"/>
        <v>43.12</v>
      </c>
      <c r="O8" s="384"/>
      <c r="P8" s="382"/>
      <c r="Q8" s="382"/>
      <c r="R8" s="144"/>
      <c r="S8" s="166" t="s">
        <v>378</v>
      </c>
      <c r="T8" s="161" t="s">
        <v>215</v>
      </c>
      <c r="U8" s="177" t="s">
        <v>289</v>
      </c>
      <c r="V8" s="177" t="s">
        <v>301</v>
      </c>
      <c r="W8" s="177"/>
      <c r="X8" s="172">
        <v>2</v>
      </c>
      <c r="Y8" s="169"/>
      <c r="Z8" s="169">
        <v>20000</v>
      </c>
      <c r="AA8" s="169"/>
      <c r="AB8" s="173"/>
      <c r="AC8" s="173">
        <v>5000</v>
      </c>
      <c r="AD8" s="173"/>
      <c r="AE8" s="169">
        <v>29000</v>
      </c>
      <c r="AF8" s="169">
        <v>2000</v>
      </c>
      <c r="AG8" s="154"/>
      <c r="AH8" s="318" t="s">
        <v>382</v>
      </c>
      <c r="AI8" s="246" t="s">
        <v>412</v>
      </c>
      <c r="AJ8" s="326" t="s">
        <v>426</v>
      </c>
      <c r="AK8" s="327">
        <v>22000</v>
      </c>
      <c r="AL8" s="325">
        <v>2</v>
      </c>
      <c r="AM8" s="384">
        <v>17000</v>
      </c>
      <c r="AN8" s="384">
        <v>2266000</v>
      </c>
      <c r="AO8" s="159">
        <f t="shared" si="7"/>
        <v>66.647058823529406</v>
      </c>
      <c r="AP8" s="384">
        <f>ROUND(75%*AM8,-3)</f>
        <v>13000</v>
      </c>
      <c r="AQ8" s="380">
        <f>AN8*1.05</f>
        <v>2379300</v>
      </c>
      <c r="AR8" s="159">
        <f t="shared" si="2"/>
        <v>91.511538461538464</v>
      </c>
      <c r="AS8" s="331">
        <v>5000</v>
      </c>
      <c r="AT8" s="331">
        <v>13000</v>
      </c>
      <c r="AU8" s="333">
        <v>1000</v>
      </c>
      <c r="AV8" s="333">
        <v>2000</v>
      </c>
      <c r="AW8" s="333">
        <v>150000</v>
      </c>
      <c r="AX8" s="333">
        <v>200000</v>
      </c>
      <c r="AY8" s="154"/>
      <c r="AZ8" s="164" t="s">
        <v>152</v>
      </c>
      <c r="BA8" s="174" t="s">
        <v>158</v>
      </c>
      <c r="BB8" s="388">
        <v>20000</v>
      </c>
      <c r="BC8" s="388">
        <v>57450</v>
      </c>
      <c r="BD8" s="182">
        <f t="shared" si="3"/>
        <v>2.9</v>
      </c>
      <c r="BE8" s="18" t="s">
        <v>152</v>
      </c>
      <c r="BF8" s="335" t="s">
        <v>433</v>
      </c>
      <c r="BG8" s="388">
        <v>20000</v>
      </c>
      <c r="BH8" s="388">
        <v>209320</v>
      </c>
      <c r="BI8" s="390">
        <f t="shared" si="8"/>
        <v>10.5</v>
      </c>
      <c r="BK8" s="20">
        <v>1.75</v>
      </c>
      <c r="BL8" s="49">
        <v>1.08</v>
      </c>
      <c r="BM8" s="49">
        <v>0.98</v>
      </c>
      <c r="BN8" s="49">
        <v>1.1000000000000001</v>
      </c>
      <c r="BO8" s="49">
        <v>0.98</v>
      </c>
      <c r="BP8" s="49">
        <v>1.0625</v>
      </c>
      <c r="BQ8" s="49">
        <v>0.99</v>
      </c>
      <c r="BR8" s="49">
        <v>1.1000000000000001</v>
      </c>
      <c r="BS8" s="49">
        <v>0.99</v>
      </c>
      <c r="BT8" s="71"/>
      <c r="BW8" s="185">
        <v>0.03</v>
      </c>
      <c r="BX8" s="188">
        <v>1.0175000000000001</v>
      </c>
      <c r="BY8" s="188">
        <f t="shared" si="4"/>
        <v>1.0840000000000001</v>
      </c>
      <c r="BZ8" s="188">
        <f t="shared" si="5"/>
        <v>1.1049999999999993</v>
      </c>
    </row>
    <row r="9" spans="2:78" x14ac:dyDescent="0.2">
      <c r="B9" s="318" t="s">
        <v>371</v>
      </c>
      <c r="C9" s="318" t="s">
        <v>470</v>
      </c>
      <c r="D9" s="318" t="str">
        <f t="shared" si="0"/>
        <v>A318-1004C+6Y SI</v>
      </c>
      <c r="E9" s="387">
        <v>72</v>
      </c>
      <c r="F9" s="384"/>
      <c r="G9" s="384"/>
      <c r="H9" s="384">
        <v>742630</v>
      </c>
      <c r="I9" s="381">
        <f t="shared" si="1"/>
        <v>41.26</v>
      </c>
      <c r="J9" s="384">
        <v>30000</v>
      </c>
      <c r="K9" s="382">
        <f>IF(OR(H9="",J9=""),"",H9-J9)</f>
        <v>712630</v>
      </c>
      <c r="L9" s="382">
        <f>IF(OR(H9="",J9=""),"",H9+J9)</f>
        <v>772630</v>
      </c>
      <c r="M9" s="384">
        <f>H9*1.15</f>
        <v>854024.49999999988</v>
      </c>
      <c r="N9" s="383">
        <f t="shared" si="6"/>
        <v>47.45</v>
      </c>
      <c r="O9" s="384">
        <v>60000</v>
      </c>
      <c r="P9" s="382">
        <f t="shared" ref="P9:P15" si="9">IF(OR(M9="",O9=""),"",M9-O9)</f>
        <v>794024.49999999988</v>
      </c>
      <c r="Q9" s="382">
        <f t="shared" ref="Q9:Q15" si="10">IF(OR(M9="",O9=""),"",M9+O9)</f>
        <v>914024.49999999988</v>
      </c>
      <c r="R9" s="144"/>
      <c r="S9" s="166" t="s">
        <v>378</v>
      </c>
      <c r="T9" s="161" t="s">
        <v>215</v>
      </c>
      <c r="U9" s="177" t="s">
        <v>288</v>
      </c>
      <c r="V9" s="177" t="s">
        <v>301</v>
      </c>
      <c r="W9" s="177"/>
      <c r="X9" s="172">
        <v>2</v>
      </c>
      <c r="Y9" s="169"/>
      <c r="Z9" s="169"/>
      <c r="AA9" s="169"/>
      <c r="AB9" s="173">
        <v>12</v>
      </c>
      <c r="AC9" s="173"/>
      <c r="AD9" s="173"/>
      <c r="AE9" s="169">
        <v>258000</v>
      </c>
      <c r="AF9" s="169">
        <v>20000</v>
      </c>
      <c r="AG9" s="154"/>
      <c r="AH9" s="318" t="s">
        <v>383</v>
      </c>
      <c r="AI9" s="246" t="s">
        <v>410</v>
      </c>
      <c r="AJ9" s="326" t="s">
        <v>426</v>
      </c>
      <c r="AK9" s="327">
        <v>22000</v>
      </c>
      <c r="AL9" s="325">
        <v>2</v>
      </c>
      <c r="AM9" s="384">
        <v>17500</v>
      </c>
      <c r="AN9" s="384">
        <v>2266000</v>
      </c>
      <c r="AO9" s="159">
        <f t="shared" si="7"/>
        <v>64.742857142857147</v>
      </c>
      <c r="AP9" s="384">
        <f>ROUND(75%*AM9,-3)</f>
        <v>13000</v>
      </c>
      <c r="AQ9" s="380">
        <f>AN9*1.05</f>
        <v>2379300</v>
      </c>
      <c r="AR9" s="159">
        <f t="shared" si="2"/>
        <v>91.511538461538464</v>
      </c>
      <c r="AS9" s="331">
        <v>5000</v>
      </c>
      <c r="AT9" s="331">
        <v>13000</v>
      </c>
      <c r="AU9" s="333">
        <v>1000</v>
      </c>
      <c r="AV9" s="333">
        <v>2000</v>
      </c>
      <c r="AW9" s="333">
        <v>150000</v>
      </c>
      <c r="AX9" s="333">
        <v>200000</v>
      </c>
      <c r="AY9" s="154"/>
      <c r="AZ9" s="164" t="str">
        <f>""</f>
        <v/>
      </c>
      <c r="BA9" s="174" t="s">
        <v>159</v>
      </c>
      <c r="BB9" s="388">
        <v>20000</v>
      </c>
      <c r="BC9" s="388">
        <v>94960</v>
      </c>
      <c r="BD9" s="182">
        <f t="shared" si="3"/>
        <v>4.7</v>
      </c>
      <c r="BE9" s="14" t="str">
        <f>""</f>
        <v/>
      </c>
      <c r="BF9" s="335" t="s">
        <v>434</v>
      </c>
      <c r="BG9" s="388">
        <v>20000</v>
      </c>
      <c r="BH9" s="388">
        <v>337710</v>
      </c>
      <c r="BI9" s="390">
        <f t="shared" si="8"/>
        <v>16.899999999999999</v>
      </c>
      <c r="BK9" s="136">
        <v>2</v>
      </c>
      <c r="BL9" s="142">
        <v>1</v>
      </c>
      <c r="BM9" s="142">
        <v>1</v>
      </c>
      <c r="BN9" s="142">
        <v>1</v>
      </c>
      <c r="BO9" s="142">
        <v>1</v>
      </c>
      <c r="BP9" s="142">
        <v>1</v>
      </c>
      <c r="BQ9" s="142">
        <v>1</v>
      </c>
      <c r="BR9" s="142">
        <v>1</v>
      </c>
      <c r="BS9" s="142">
        <v>1</v>
      </c>
      <c r="BT9" s="71"/>
      <c r="BU9" s="156"/>
      <c r="BV9" s="156"/>
      <c r="BW9" s="185">
        <v>0.04</v>
      </c>
      <c r="BX9" s="188">
        <v>1.0149999999999999</v>
      </c>
      <c r="BY9" s="188">
        <f t="shared" si="4"/>
        <v>1.0720000000000001</v>
      </c>
      <c r="BZ9" s="188">
        <f t="shared" si="5"/>
        <v>1.0899999999999994</v>
      </c>
    </row>
    <row r="10" spans="2:78" x14ac:dyDescent="0.2">
      <c r="B10" s="318" t="s">
        <v>371</v>
      </c>
      <c r="C10" s="318" t="s">
        <v>471</v>
      </c>
      <c r="D10" s="318" t="str">
        <f t="shared" si="0"/>
        <v>A318-1008C+12Y SI</v>
      </c>
      <c r="E10" s="387">
        <v>144</v>
      </c>
      <c r="F10" s="384"/>
      <c r="G10" s="384"/>
      <c r="H10" s="384">
        <v>848720</v>
      </c>
      <c r="I10" s="381">
        <f t="shared" si="1"/>
        <v>23.58</v>
      </c>
      <c r="J10" s="384">
        <v>30000</v>
      </c>
      <c r="K10" s="382">
        <f>IF(OR(H10="",J10=""),"",H10-J10)</f>
        <v>818720</v>
      </c>
      <c r="L10" s="382">
        <f>IF(OR(H10="",J10=""),"",H10+J10)</f>
        <v>878720</v>
      </c>
      <c r="M10" s="384">
        <f>H10*1.15</f>
        <v>976027.99999999988</v>
      </c>
      <c r="N10" s="383">
        <f t="shared" si="6"/>
        <v>27.11</v>
      </c>
      <c r="O10" s="384">
        <v>60000</v>
      </c>
      <c r="P10" s="382">
        <f t="shared" si="9"/>
        <v>916027.99999999988</v>
      </c>
      <c r="Q10" s="382">
        <f t="shared" si="10"/>
        <v>1036027.9999999999</v>
      </c>
      <c r="R10" s="144"/>
      <c r="S10" s="166"/>
      <c r="T10" s="166"/>
      <c r="U10" s="177"/>
      <c r="V10" s="177"/>
      <c r="W10" s="177"/>
      <c r="X10" s="172"/>
      <c r="Y10" s="169"/>
      <c r="Z10" s="169"/>
      <c r="AA10" s="169"/>
      <c r="AB10" s="173"/>
      <c r="AC10" s="173"/>
      <c r="AD10" s="173"/>
      <c r="AE10" s="178"/>
      <c r="AF10" s="169"/>
      <c r="AG10" s="154"/>
      <c r="AH10" s="318"/>
      <c r="AI10" s="246"/>
      <c r="AJ10" s="326"/>
      <c r="AK10" s="327"/>
      <c r="AL10" s="325"/>
      <c r="AM10" s="384"/>
      <c r="AN10" s="394"/>
      <c r="AO10" s="159" t="str">
        <f t="shared" si="7"/>
        <v/>
      </c>
      <c r="AP10" s="384"/>
      <c r="AQ10" s="380"/>
      <c r="AR10" s="159"/>
      <c r="AS10" s="331"/>
      <c r="AT10" s="331"/>
      <c r="AU10" s="333"/>
      <c r="AV10" s="333"/>
      <c r="AW10" s="333"/>
      <c r="AX10" s="333"/>
      <c r="AY10" s="154"/>
      <c r="AZ10" s="164" t="str">
        <f>""</f>
        <v/>
      </c>
      <c r="BA10" s="174" t="s">
        <v>160</v>
      </c>
      <c r="BB10" s="388">
        <v>20000</v>
      </c>
      <c r="BC10" s="388">
        <v>135600</v>
      </c>
      <c r="BD10" s="182">
        <f t="shared" si="3"/>
        <v>6.8</v>
      </c>
      <c r="BE10" s="14" t="str">
        <f>""</f>
        <v/>
      </c>
      <c r="BF10" s="335" t="s">
        <v>164</v>
      </c>
      <c r="BG10" s="388">
        <v>20000</v>
      </c>
      <c r="BH10" s="388">
        <v>118710</v>
      </c>
      <c r="BI10" s="390">
        <f t="shared" si="8"/>
        <v>5.9</v>
      </c>
      <c r="BK10" s="20">
        <v>2.5</v>
      </c>
      <c r="BL10" s="49">
        <v>0.94499999999999995</v>
      </c>
      <c r="BM10" s="49">
        <v>1.03</v>
      </c>
      <c r="BN10" s="49">
        <v>0.94499999999999995</v>
      </c>
      <c r="BO10" s="49">
        <v>1.03</v>
      </c>
      <c r="BP10" s="49">
        <v>0.94499999999999995</v>
      </c>
      <c r="BQ10" s="49">
        <v>1.02</v>
      </c>
      <c r="BR10" s="49">
        <v>0.94499999999999995</v>
      </c>
      <c r="BS10" s="49">
        <v>1.02</v>
      </c>
      <c r="BT10" s="71"/>
      <c r="BU10" s="156"/>
      <c r="BV10" s="156"/>
      <c r="BW10" s="185">
        <v>0.05</v>
      </c>
      <c r="BX10" s="188">
        <v>1.0125</v>
      </c>
      <c r="BY10" s="188">
        <f t="shared" si="4"/>
        <v>1.06</v>
      </c>
      <c r="BZ10" s="188">
        <f t="shared" si="5"/>
        <v>1.0749999999999995</v>
      </c>
    </row>
    <row r="11" spans="2:78" x14ac:dyDescent="0.2">
      <c r="B11" s="318" t="s">
        <v>371</v>
      </c>
      <c r="C11" s="318" t="s">
        <v>455</v>
      </c>
      <c r="D11" s="318" t="str">
        <f t="shared" si="0"/>
        <v>A318-1006Y SI</v>
      </c>
      <c r="E11" s="387">
        <v>72</v>
      </c>
      <c r="F11" s="384"/>
      <c r="G11" s="384"/>
      <c r="H11" s="384">
        <f>H9-H7</f>
        <v>563430</v>
      </c>
      <c r="I11" s="381">
        <f t="shared" si="1"/>
        <v>31.3</v>
      </c>
      <c r="J11" s="384">
        <v>30000</v>
      </c>
      <c r="K11" s="382">
        <f>IF(OR(H11="",J11=""),"",H11-J11)</f>
        <v>533430</v>
      </c>
      <c r="L11" s="382">
        <f>IF(OR(H11="",J11=""),"",H11+J11)</f>
        <v>593430</v>
      </c>
      <c r="M11" s="384">
        <f>M9-M7</f>
        <v>638984.49999999988</v>
      </c>
      <c r="N11" s="383">
        <f t="shared" si="6"/>
        <v>35.5</v>
      </c>
      <c r="O11" s="384">
        <v>60000</v>
      </c>
      <c r="P11" s="382">
        <f t="shared" si="9"/>
        <v>578984.49999999988</v>
      </c>
      <c r="Q11" s="382">
        <f t="shared" si="10"/>
        <v>698984.49999999988</v>
      </c>
      <c r="R11" s="144"/>
      <c r="S11" s="166" t="s">
        <v>376</v>
      </c>
      <c r="T11" s="166">
        <v>100</v>
      </c>
      <c r="U11" s="177" t="s">
        <v>290</v>
      </c>
      <c r="V11" s="177" t="s">
        <v>296</v>
      </c>
      <c r="W11" s="177" t="str">
        <f>S11&amp;"-"&amp;T11&amp;U11&amp;" "&amp;V11</f>
        <v>A318-100 Wheel MLG Replace ( x 4 )</v>
      </c>
      <c r="X11" s="172">
        <v>4</v>
      </c>
      <c r="Y11" s="169"/>
      <c r="Z11" s="169"/>
      <c r="AA11" s="169">
        <v>300</v>
      </c>
      <c r="AB11" s="173"/>
      <c r="AC11" s="173"/>
      <c r="AD11" s="173">
        <v>50</v>
      </c>
      <c r="AE11" s="169">
        <v>1850</v>
      </c>
      <c r="AF11" s="169">
        <v>250</v>
      </c>
      <c r="AG11" s="154"/>
      <c r="AH11" s="318" t="s">
        <v>384</v>
      </c>
      <c r="AI11" s="246" t="s">
        <v>413</v>
      </c>
      <c r="AJ11" s="326" t="s">
        <v>426</v>
      </c>
      <c r="AK11" s="327">
        <v>23300</v>
      </c>
      <c r="AL11" s="325">
        <v>2</v>
      </c>
      <c r="AM11" s="384">
        <v>16500</v>
      </c>
      <c r="AN11" s="384">
        <v>2400000</v>
      </c>
      <c r="AO11" s="159">
        <f t="shared" si="7"/>
        <v>72.727272727272734</v>
      </c>
      <c r="AP11" s="384">
        <f>ROUND(75%*AM11,-3)</f>
        <v>12000</v>
      </c>
      <c r="AQ11" s="380">
        <f>AN11*1.05</f>
        <v>2520000</v>
      </c>
      <c r="AR11" s="159">
        <f t="shared" si="2"/>
        <v>105</v>
      </c>
      <c r="AS11" s="331">
        <v>5000</v>
      </c>
      <c r="AT11" s="331">
        <v>12000</v>
      </c>
      <c r="AU11" s="333">
        <v>2000</v>
      </c>
      <c r="AV11" s="333">
        <v>2000</v>
      </c>
      <c r="AW11" s="333">
        <v>150000</v>
      </c>
      <c r="AX11" s="333">
        <v>200000</v>
      </c>
      <c r="AY11" s="154"/>
      <c r="AZ11" s="164" t="str">
        <f>""</f>
        <v/>
      </c>
      <c r="BA11" s="174" t="s">
        <v>161</v>
      </c>
      <c r="BB11" s="388">
        <v>20000</v>
      </c>
      <c r="BC11" s="388">
        <v>42020</v>
      </c>
      <c r="BD11" s="182">
        <f t="shared" si="3"/>
        <v>2.1</v>
      </c>
      <c r="BE11" s="14" t="str">
        <f>""</f>
        <v/>
      </c>
      <c r="BF11" s="335" t="s">
        <v>435</v>
      </c>
      <c r="BG11" s="388">
        <v>20000</v>
      </c>
      <c r="BH11" s="388">
        <v>31490</v>
      </c>
      <c r="BI11" s="390">
        <f t="shared" si="8"/>
        <v>1.6</v>
      </c>
      <c r="BK11" s="20">
        <v>3</v>
      </c>
      <c r="BL11" s="49">
        <v>0.90300000000000002</v>
      </c>
      <c r="BM11" s="49">
        <v>1.05</v>
      </c>
      <c r="BN11" s="49">
        <v>0.90300000000000002</v>
      </c>
      <c r="BO11" s="49">
        <v>1.05</v>
      </c>
      <c r="BP11" s="49">
        <v>0.90300000000000002</v>
      </c>
      <c r="BQ11" s="49">
        <v>1.05</v>
      </c>
      <c r="BR11" s="49">
        <v>0.90300000000000002</v>
      </c>
      <c r="BS11" s="49">
        <v>1.0349999999999999</v>
      </c>
      <c r="BT11" s="71"/>
      <c r="BU11" s="156"/>
      <c r="BV11" s="156"/>
      <c r="BW11" s="185">
        <v>0.06</v>
      </c>
      <c r="BX11" s="188">
        <v>1.01</v>
      </c>
      <c r="BY11" s="188">
        <f t="shared" si="4"/>
        <v>1.048</v>
      </c>
      <c r="BZ11" s="188">
        <f t="shared" si="5"/>
        <v>1.0599999999999996</v>
      </c>
    </row>
    <row r="12" spans="2:78" x14ac:dyDescent="0.2">
      <c r="B12" s="318" t="s">
        <v>371</v>
      </c>
      <c r="C12" s="318" t="s">
        <v>240</v>
      </c>
      <c r="D12" s="318" t="str">
        <f t="shared" si="0"/>
        <v>A318-10012Y SI</v>
      </c>
      <c r="E12" s="387">
        <v>144</v>
      </c>
      <c r="F12" s="384"/>
      <c r="G12" s="384"/>
      <c r="H12" s="384">
        <f>H10</f>
        <v>848720</v>
      </c>
      <c r="I12" s="381">
        <f t="shared" si="1"/>
        <v>23.58</v>
      </c>
      <c r="J12" s="384">
        <v>30000</v>
      </c>
      <c r="K12" s="382">
        <f>IF(OR(H12="",J12=""),"",H12-J12)</f>
        <v>818720</v>
      </c>
      <c r="L12" s="382">
        <f>IF(OR(H12="",J12=""),"",H12+J12)</f>
        <v>878720</v>
      </c>
      <c r="M12" s="384">
        <f>M10</f>
        <v>976027.99999999988</v>
      </c>
      <c r="N12" s="383">
        <f t="shared" si="6"/>
        <v>27.11</v>
      </c>
      <c r="O12" s="384">
        <v>60000</v>
      </c>
      <c r="P12" s="382">
        <f t="shared" si="9"/>
        <v>916027.99999999988</v>
      </c>
      <c r="Q12" s="382">
        <f t="shared" si="10"/>
        <v>1036027.9999999999</v>
      </c>
      <c r="R12" s="144"/>
      <c r="S12" s="166" t="s">
        <v>376</v>
      </c>
      <c r="T12" s="166">
        <v>100</v>
      </c>
      <c r="U12" s="177" t="s">
        <v>291</v>
      </c>
      <c r="V12" s="177" t="s">
        <v>297</v>
      </c>
      <c r="W12" s="177" t="str">
        <f t="shared" ref="W12:W45" si="11">S12&amp;"-"&amp;T12&amp;U12&amp;" "&amp;V12</f>
        <v>A318-100 Wheel NLG Replace ( x 2 )</v>
      </c>
      <c r="X12" s="172">
        <v>2</v>
      </c>
      <c r="Y12" s="169"/>
      <c r="Z12" s="169"/>
      <c r="AA12" s="169">
        <v>200</v>
      </c>
      <c r="AB12" s="173"/>
      <c r="AC12" s="173"/>
      <c r="AD12" s="173">
        <v>50</v>
      </c>
      <c r="AE12" s="169">
        <v>520</v>
      </c>
      <c r="AF12" s="169">
        <v>100</v>
      </c>
      <c r="AG12" s="154"/>
      <c r="AH12" s="318" t="s">
        <v>385</v>
      </c>
      <c r="AI12" s="246" t="s">
        <v>415</v>
      </c>
      <c r="AJ12" s="326" t="s">
        <v>426</v>
      </c>
      <c r="AK12" s="327">
        <v>23300</v>
      </c>
      <c r="AL12" s="325">
        <v>2</v>
      </c>
      <c r="AM12" s="384">
        <f>AM11+500</f>
        <v>17000</v>
      </c>
      <c r="AN12" s="384">
        <v>2400000</v>
      </c>
      <c r="AO12" s="159">
        <f t="shared" si="7"/>
        <v>70.588235294117652</v>
      </c>
      <c r="AP12" s="384">
        <v>12000</v>
      </c>
      <c r="AQ12" s="380">
        <f>AN12*1.05</f>
        <v>2520000</v>
      </c>
      <c r="AR12" s="159">
        <f t="shared" si="2"/>
        <v>105</v>
      </c>
      <c r="AS12" s="331">
        <v>5000</v>
      </c>
      <c r="AT12" s="331">
        <v>12000</v>
      </c>
      <c r="AU12" s="333">
        <v>2000</v>
      </c>
      <c r="AV12" s="333">
        <v>2000</v>
      </c>
      <c r="AW12" s="333">
        <v>150000</v>
      </c>
      <c r="AX12" s="333">
        <v>200000</v>
      </c>
      <c r="AY12" s="154"/>
      <c r="AZ12" s="164" t="str">
        <f>""</f>
        <v/>
      </c>
      <c r="BA12" s="174" t="s">
        <v>162</v>
      </c>
      <c r="BB12" s="388">
        <v>20000</v>
      </c>
      <c r="BC12" s="388">
        <v>302600</v>
      </c>
      <c r="BD12" s="182">
        <f t="shared" si="3"/>
        <v>15.1</v>
      </c>
      <c r="BE12" s="18" t="s">
        <v>153</v>
      </c>
      <c r="BF12" s="335" t="s">
        <v>436</v>
      </c>
      <c r="BG12" s="388">
        <v>20000</v>
      </c>
      <c r="BH12" s="388">
        <v>231240</v>
      </c>
      <c r="BI12" s="390">
        <f t="shared" si="8"/>
        <v>11.6</v>
      </c>
      <c r="BK12" s="20">
        <v>3.5</v>
      </c>
      <c r="BL12" s="49">
        <v>0.876</v>
      </c>
      <c r="BM12" s="49">
        <v>1.07</v>
      </c>
      <c r="BN12" s="49">
        <v>0.876</v>
      </c>
      <c r="BO12" s="49">
        <v>1.07</v>
      </c>
      <c r="BP12" s="49">
        <v>0.876</v>
      </c>
      <c r="BQ12" s="49">
        <v>1.0649999999999999</v>
      </c>
      <c r="BR12" s="49">
        <v>0.876</v>
      </c>
      <c r="BS12" s="49">
        <v>1.05</v>
      </c>
      <c r="BT12" s="71"/>
      <c r="BU12" s="156"/>
      <c r="BV12" s="156"/>
      <c r="BW12" s="185">
        <v>7.0000000000000007E-2</v>
      </c>
      <c r="BX12" s="188">
        <v>1.0075000000000001</v>
      </c>
      <c r="BY12" s="188">
        <f t="shared" si="4"/>
        <v>1.036</v>
      </c>
      <c r="BZ12" s="188">
        <f t="shared" si="5"/>
        <v>1.0449999999999997</v>
      </c>
    </row>
    <row r="13" spans="2:78" x14ac:dyDescent="0.2">
      <c r="B13" s="166"/>
      <c r="C13" s="167"/>
      <c r="D13" s="166"/>
      <c r="E13" s="168"/>
      <c r="F13" s="169"/>
      <c r="G13" s="384"/>
      <c r="H13" s="169"/>
      <c r="I13" s="170"/>
      <c r="J13" s="169"/>
      <c r="K13" s="160"/>
      <c r="L13" s="160"/>
      <c r="M13" s="171"/>
      <c r="N13" s="159"/>
      <c r="O13" s="169"/>
      <c r="P13" s="160" t="str">
        <f t="shared" si="9"/>
        <v/>
      </c>
      <c r="Q13" s="160" t="str">
        <f t="shared" si="10"/>
        <v/>
      </c>
      <c r="R13" s="154"/>
      <c r="S13" s="166" t="s">
        <v>376</v>
      </c>
      <c r="T13" s="166">
        <v>100</v>
      </c>
      <c r="U13" s="177" t="s">
        <v>292</v>
      </c>
      <c r="V13" s="177" t="s">
        <v>298</v>
      </c>
      <c r="W13" s="177" t="str">
        <f t="shared" si="11"/>
        <v>A318-100 Tire MLG Retread ( x 4 )</v>
      </c>
      <c r="X13" s="172">
        <v>4</v>
      </c>
      <c r="Y13" s="169"/>
      <c r="Z13" s="169"/>
      <c r="AA13" s="169">
        <v>300</v>
      </c>
      <c r="AB13" s="173"/>
      <c r="AC13" s="173"/>
      <c r="AD13" s="173">
        <v>50</v>
      </c>
      <c r="AE13" s="169">
        <v>620</v>
      </c>
      <c r="AF13" s="169">
        <v>100</v>
      </c>
      <c r="AG13" s="154"/>
      <c r="AH13" s="321"/>
      <c r="AI13" s="246"/>
      <c r="AJ13" s="321"/>
      <c r="AK13" s="321"/>
      <c r="AL13" s="328"/>
      <c r="AM13" s="391"/>
      <c r="AN13" s="395"/>
      <c r="AO13" s="159" t="str">
        <f t="shared" si="7"/>
        <v/>
      </c>
      <c r="AP13" s="391"/>
      <c r="AQ13" s="391"/>
      <c r="AR13" s="159"/>
      <c r="AS13" s="393"/>
      <c r="AT13" s="393"/>
      <c r="AU13" s="393"/>
      <c r="AV13" s="393"/>
      <c r="AW13" s="393"/>
      <c r="AX13" s="393"/>
      <c r="AY13" s="154"/>
      <c r="AZ13" s="164" t="s">
        <v>153</v>
      </c>
      <c r="BA13" s="174" t="s">
        <v>156</v>
      </c>
      <c r="BB13" s="388">
        <v>20000</v>
      </c>
      <c r="BC13" s="388">
        <v>252600</v>
      </c>
      <c r="BD13" s="182">
        <f t="shared" si="3"/>
        <v>12.6</v>
      </c>
      <c r="BE13" s="14" t="str">
        <f>""</f>
        <v/>
      </c>
      <c r="BF13" s="335" t="s">
        <v>437</v>
      </c>
      <c r="BG13" s="388">
        <v>20000</v>
      </c>
      <c r="BH13" s="388">
        <v>107170</v>
      </c>
      <c r="BI13" s="390">
        <f t="shared" si="8"/>
        <v>5.4</v>
      </c>
      <c r="BK13" s="20">
        <v>4</v>
      </c>
      <c r="BL13" s="49">
        <v>0.86</v>
      </c>
      <c r="BM13" s="49">
        <v>1.075</v>
      </c>
      <c r="BN13" s="49">
        <v>0.86</v>
      </c>
      <c r="BO13" s="49">
        <v>1.075</v>
      </c>
      <c r="BP13" s="49">
        <v>0.86</v>
      </c>
      <c r="BQ13" s="49">
        <v>1.075</v>
      </c>
      <c r="BR13" s="49">
        <v>0.86</v>
      </c>
      <c r="BS13" s="49">
        <v>1.06</v>
      </c>
      <c r="BT13" s="71"/>
      <c r="BU13" s="156"/>
      <c r="BV13" s="156"/>
      <c r="BW13" s="185">
        <v>0.08</v>
      </c>
      <c r="BX13" s="188">
        <v>1.0049999999999999</v>
      </c>
      <c r="BY13" s="188">
        <f t="shared" si="4"/>
        <v>1.024</v>
      </c>
      <c r="BZ13" s="188">
        <f t="shared" si="5"/>
        <v>1.0299999999999998</v>
      </c>
    </row>
    <row r="14" spans="2:78" x14ac:dyDescent="0.2">
      <c r="B14" s="318" t="s">
        <v>372</v>
      </c>
      <c r="C14" s="318" t="s">
        <v>191</v>
      </c>
      <c r="D14" s="318" t="str">
        <f t="shared" ref="D14:D21" si="12">IF(B14="","",B14&amp;C14)</f>
        <v>A319-100A-Check</v>
      </c>
      <c r="E14" s="379">
        <v>4</v>
      </c>
      <c r="F14" s="380">
        <v>750</v>
      </c>
      <c r="G14" s="384"/>
      <c r="H14" s="384">
        <v>9270</v>
      </c>
      <c r="I14" s="381">
        <f t="shared" ref="I14:I21" si="13">IF(OR(E14="",H14=""),"",ROUND((H14/E14)/(3000/12),2))</f>
        <v>9.27</v>
      </c>
      <c r="J14" s="384">
        <v>2000</v>
      </c>
      <c r="K14" s="382">
        <f>IF(OR(H14="",J14=""),"",H14-J14)</f>
        <v>7270</v>
      </c>
      <c r="L14" s="382">
        <f>IF(OR(H14="",J14=""),"",H14+J14)</f>
        <v>11270</v>
      </c>
      <c r="M14" s="384"/>
      <c r="N14" s="383" t="str">
        <f>IF(OR(E14="",M14=""),"",ROUND((M14/E14)/(3000/12),1))</f>
        <v/>
      </c>
      <c r="O14" s="384"/>
      <c r="P14" s="382" t="str">
        <f t="shared" si="9"/>
        <v/>
      </c>
      <c r="Q14" s="382" t="str">
        <f t="shared" si="10"/>
        <v/>
      </c>
      <c r="R14" s="154"/>
      <c r="S14" s="166" t="s">
        <v>376</v>
      </c>
      <c r="T14" s="166">
        <v>100</v>
      </c>
      <c r="U14" s="177" t="s">
        <v>293</v>
      </c>
      <c r="V14" s="177" t="s">
        <v>299</v>
      </c>
      <c r="W14" s="177" t="str">
        <f t="shared" si="11"/>
        <v>A318-100 Tire NLG Retread ( x 2 )</v>
      </c>
      <c r="X14" s="172">
        <v>2</v>
      </c>
      <c r="Y14" s="169"/>
      <c r="Z14" s="169"/>
      <c r="AA14" s="169">
        <v>200</v>
      </c>
      <c r="AB14" s="173"/>
      <c r="AC14" s="173"/>
      <c r="AD14" s="173">
        <v>50</v>
      </c>
      <c r="AE14" s="169">
        <v>310</v>
      </c>
      <c r="AF14" s="169">
        <v>100</v>
      </c>
      <c r="AG14" s="154"/>
      <c r="AH14" s="318" t="s">
        <v>386</v>
      </c>
      <c r="AI14" s="246" t="s">
        <v>414</v>
      </c>
      <c r="AJ14" s="326" t="s">
        <v>426</v>
      </c>
      <c r="AK14" s="327">
        <v>23500</v>
      </c>
      <c r="AL14" s="325">
        <v>2</v>
      </c>
      <c r="AM14" s="384">
        <v>14500</v>
      </c>
      <c r="AN14" s="384">
        <v>2420500</v>
      </c>
      <c r="AO14" s="159">
        <f t="shared" si="7"/>
        <v>83.465517241379317</v>
      </c>
      <c r="AP14" s="384">
        <f>ROUND(75%*AM14,-3)</f>
        <v>11000</v>
      </c>
      <c r="AQ14" s="380">
        <f>AN14*1.05</f>
        <v>2541525</v>
      </c>
      <c r="AR14" s="159">
        <f t="shared" si="2"/>
        <v>115.52386363636364</v>
      </c>
      <c r="AS14" s="331">
        <v>5000</v>
      </c>
      <c r="AT14" s="331">
        <v>12000</v>
      </c>
      <c r="AU14" s="333">
        <v>2000</v>
      </c>
      <c r="AV14" s="333">
        <v>2000</v>
      </c>
      <c r="AW14" s="333">
        <v>150000</v>
      </c>
      <c r="AX14" s="333">
        <v>200000</v>
      </c>
      <c r="AY14" s="154"/>
      <c r="AZ14" s="164" t="str">
        <f>""</f>
        <v/>
      </c>
      <c r="BA14" s="174" t="s">
        <v>163</v>
      </c>
      <c r="BB14" s="388">
        <v>20000</v>
      </c>
      <c r="BC14" s="388">
        <v>228400</v>
      </c>
      <c r="BD14" s="182">
        <f t="shared" si="3"/>
        <v>11.4</v>
      </c>
      <c r="BE14" s="14" t="str">
        <f>""</f>
        <v/>
      </c>
      <c r="BF14" s="335" t="s">
        <v>438</v>
      </c>
      <c r="BG14" s="388">
        <v>20000</v>
      </c>
      <c r="BH14" s="388">
        <v>41440</v>
      </c>
      <c r="BI14" s="390">
        <f t="shared" si="8"/>
        <v>2.1</v>
      </c>
      <c r="BK14" s="20">
        <v>4.5</v>
      </c>
      <c r="BL14" s="49">
        <v>0.85</v>
      </c>
      <c r="BM14" s="49">
        <v>1.08</v>
      </c>
      <c r="BN14" s="49">
        <v>0.85</v>
      </c>
      <c r="BO14" s="49">
        <v>1.08</v>
      </c>
      <c r="BP14" s="49">
        <v>0.85</v>
      </c>
      <c r="BQ14" s="49">
        <v>1.08</v>
      </c>
      <c r="BR14" s="49">
        <v>0.85</v>
      </c>
      <c r="BS14" s="49">
        <v>1.07</v>
      </c>
      <c r="BT14" s="71"/>
      <c r="BU14" s="156"/>
      <c r="BV14" s="156"/>
      <c r="BW14" s="185">
        <v>0.09</v>
      </c>
      <c r="BX14" s="188">
        <v>1.0024999999999999</v>
      </c>
      <c r="BY14" s="188">
        <f>BY15+0.012</f>
        <v>1.012</v>
      </c>
      <c r="BZ14" s="188">
        <f>BZ15+0.015</f>
        <v>1.0149999999999999</v>
      </c>
    </row>
    <row r="15" spans="2:78" x14ac:dyDescent="0.2">
      <c r="B15" s="318" t="s">
        <v>372</v>
      </c>
      <c r="C15" s="320" t="s">
        <v>456</v>
      </c>
      <c r="D15" s="318" t="str">
        <f t="shared" si="12"/>
        <v>A319-1001C-Check</v>
      </c>
      <c r="E15" s="387">
        <v>18</v>
      </c>
      <c r="F15" s="384">
        <v>6000</v>
      </c>
      <c r="G15" s="384">
        <v>4500</v>
      </c>
      <c r="H15" s="384">
        <v>164800</v>
      </c>
      <c r="I15" s="381">
        <f t="shared" si="13"/>
        <v>36.619999999999997</v>
      </c>
      <c r="J15" s="384">
        <v>20000</v>
      </c>
      <c r="K15" s="382">
        <f>IF(OR(H15="",J15=""),"",H15-J15)</f>
        <v>144800</v>
      </c>
      <c r="L15" s="382">
        <f>IF(OR(H15="",J15=""),"",H15+J15)</f>
        <v>184800</v>
      </c>
      <c r="M15" s="384">
        <f>H15*1.2</f>
        <v>197760</v>
      </c>
      <c r="N15" s="383">
        <f t="shared" ref="N15:N21" si="14">IF(OR(E15="",M15=""),"",ROUND((M15/E15)/(3000/12),2))</f>
        <v>43.95</v>
      </c>
      <c r="O15" s="384">
        <v>40000</v>
      </c>
      <c r="P15" s="382">
        <f t="shared" si="9"/>
        <v>157760</v>
      </c>
      <c r="Q15" s="382">
        <f t="shared" si="10"/>
        <v>237760</v>
      </c>
      <c r="R15" s="154"/>
      <c r="S15" s="166" t="s">
        <v>376</v>
      </c>
      <c r="T15" s="166">
        <v>100</v>
      </c>
      <c r="U15" s="177" t="s">
        <v>292</v>
      </c>
      <c r="V15" s="177" t="s">
        <v>296</v>
      </c>
      <c r="W15" s="177" t="str">
        <f t="shared" si="11"/>
        <v>A318-100 Tire MLG Replace ( x 4 )</v>
      </c>
      <c r="X15" s="172">
        <v>4</v>
      </c>
      <c r="Y15" s="169"/>
      <c r="Z15" s="169"/>
      <c r="AA15" s="169">
        <v>1400</v>
      </c>
      <c r="AB15" s="173"/>
      <c r="AC15" s="173"/>
      <c r="AD15" s="173">
        <v>300</v>
      </c>
      <c r="AE15" s="169">
        <v>1650</v>
      </c>
      <c r="AF15" s="169">
        <v>200</v>
      </c>
      <c r="AG15" s="154"/>
      <c r="AH15" s="318" t="s">
        <v>387</v>
      </c>
      <c r="AI15" s="246" t="s">
        <v>411</v>
      </c>
      <c r="AJ15" s="326" t="s">
        <v>426</v>
      </c>
      <c r="AK15" s="327">
        <v>23500</v>
      </c>
      <c r="AL15" s="325">
        <v>2</v>
      </c>
      <c r="AM15" s="384">
        <f>AM14+500</f>
        <v>15000</v>
      </c>
      <c r="AN15" s="384">
        <v>2420500</v>
      </c>
      <c r="AO15" s="159">
        <f t="shared" si="7"/>
        <v>80.683333333333337</v>
      </c>
      <c r="AP15" s="384">
        <v>12000</v>
      </c>
      <c r="AQ15" s="380">
        <f>AN15*1.05</f>
        <v>2541525</v>
      </c>
      <c r="AR15" s="159">
        <f t="shared" si="2"/>
        <v>105.89687499999999</v>
      </c>
      <c r="AS15" s="331">
        <v>5000</v>
      </c>
      <c r="AT15" s="331">
        <v>12000</v>
      </c>
      <c r="AU15" s="333">
        <v>2000</v>
      </c>
      <c r="AV15" s="333">
        <v>2000</v>
      </c>
      <c r="AW15" s="333">
        <v>150000</v>
      </c>
      <c r="AX15" s="333">
        <v>200000</v>
      </c>
      <c r="AY15" s="154"/>
      <c r="AZ15" s="164" t="str">
        <f>""</f>
        <v/>
      </c>
      <c r="BA15" s="174" t="s">
        <v>159</v>
      </c>
      <c r="BB15" s="388">
        <v>20000</v>
      </c>
      <c r="BC15" s="388">
        <v>109300</v>
      </c>
      <c r="BD15" s="182">
        <f t="shared" si="3"/>
        <v>5.5</v>
      </c>
      <c r="BE15" s="14" t="str">
        <f>""</f>
        <v/>
      </c>
      <c r="BF15" s="335" t="s">
        <v>439</v>
      </c>
      <c r="BG15" s="388">
        <v>20000</v>
      </c>
      <c r="BH15" s="388">
        <v>142020</v>
      </c>
      <c r="BI15" s="390">
        <f t="shared" si="8"/>
        <v>7.1</v>
      </c>
      <c r="BK15" s="20">
        <v>5</v>
      </c>
      <c r="BL15" s="49">
        <v>0.84</v>
      </c>
      <c r="BM15" s="49">
        <v>1.085</v>
      </c>
      <c r="BN15" s="49">
        <v>0.84</v>
      </c>
      <c r="BO15" s="49">
        <v>1.085</v>
      </c>
      <c r="BP15" s="49">
        <v>0.84</v>
      </c>
      <c r="BQ15" s="49">
        <v>1.085</v>
      </c>
      <c r="BR15" s="49">
        <v>0.84</v>
      </c>
      <c r="BS15" s="49">
        <v>1.08</v>
      </c>
      <c r="BT15" s="71"/>
      <c r="BU15" s="156"/>
      <c r="BV15" s="156"/>
      <c r="BW15" s="185">
        <v>0.1</v>
      </c>
      <c r="BX15" s="188">
        <v>1</v>
      </c>
      <c r="BY15" s="188">
        <v>1</v>
      </c>
      <c r="BZ15" s="188">
        <v>1</v>
      </c>
    </row>
    <row r="16" spans="2:78" x14ac:dyDescent="0.2">
      <c r="B16" s="318" t="s">
        <v>372</v>
      </c>
      <c r="C16" s="320" t="s">
        <v>457</v>
      </c>
      <c r="D16" s="318" t="str">
        <f t="shared" si="12"/>
        <v>A319-1002C-Check</v>
      </c>
      <c r="E16" s="387">
        <v>18</v>
      </c>
      <c r="F16" s="384"/>
      <c r="G16" s="384"/>
      <c r="H16" s="384">
        <f>H15+35000</f>
        <v>199800</v>
      </c>
      <c r="I16" s="381">
        <f t="shared" si="13"/>
        <v>44.4</v>
      </c>
      <c r="J16" s="384"/>
      <c r="K16" s="382"/>
      <c r="L16" s="382"/>
      <c r="M16" s="384">
        <f>H16*1.2</f>
        <v>239760</v>
      </c>
      <c r="N16" s="383">
        <f t="shared" si="14"/>
        <v>53.28</v>
      </c>
      <c r="O16" s="384"/>
      <c r="P16" s="382"/>
      <c r="Q16" s="382"/>
      <c r="R16" s="154"/>
      <c r="S16" s="166" t="s">
        <v>376</v>
      </c>
      <c r="T16" s="166">
        <v>100</v>
      </c>
      <c r="U16" s="177" t="s">
        <v>293</v>
      </c>
      <c r="V16" s="177" t="s">
        <v>297</v>
      </c>
      <c r="W16" s="177" t="str">
        <f t="shared" si="11"/>
        <v>A318-100 Tire NLG Replace ( x 2 )</v>
      </c>
      <c r="X16" s="172">
        <v>2</v>
      </c>
      <c r="Y16" s="169"/>
      <c r="Z16" s="169"/>
      <c r="AA16" s="169">
        <v>1000</v>
      </c>
      <c r="AB16" s="173"/>
      <c r="AC16" s="173"/>
      <c r="AD16" s="173">
        <v>200</v>
      </c>
      <c r="AE16" s="169">
        <v>410</v>
      </c>
      <c r="AF16" s="169">
        <v>100</v>
      </c>
      <c r="AG16" s="154"/>
      <c r="AH16" s="318"/>
      <c r="AI16" s="157"/>
      <c r="AJ16" s="326"/>
      <c r="AK16" s="327"/>
      <c r="AL16" s="325"/>
      <c r="AM16" s="384"/>
      <c r="AN16" s="384"/>
      <c r="AO16" s="159" t="str">
        <f t="shared" si="7"/>
        <v/>
      </c>
      <c r="AP16" s="384"/>
      <c r="AQ16" s="380"/>
      <c r="AR16" s="159" t="str">
        <f t="shared" si="2"/>
        <v/>
      </c>
      <c r="AS16" s="331"/>
      <c r="AT16" s="331"/>
      <c r="AU16" s="333"/>
      <c r="AV16" s="333"/>
      <c r="AW16" s="333"/>
      <c r="AX16" s="333"/>
      <c r="AY16" s="154"/>
      <c r="AZ16" s="164" t="str">
        <f>""</f>
        <v/>
      </c>
      <c r="BA16" s="174" t="s">
        <v>164</v>
      </c>
      <c r="BB16" s="388">
        <v>20000</v>
      </c>
      <c r="BC16" s="388">
        <v>80710</v>
      </c>
      <c r="BD16" s="182">
        <f t="shared" si="3"/>
        <v>4</v>
      </c>
      <c r="BE16" s="14" t="str">
        <f>""</f>
        <v/>
      </c>
      <c r="BF16" s="335" t="s">
        <v>440</v>
      </c>
      <c r="BG16" s="388">
        <v>20000</v>
      </c>
      <c r="BH16" s="388">
        <v>184280</v>
      </c>
      <c r="BI16" s="390">
        <f t="shared" si="8"/>
        <v>9.1999999999999993</v>
      </c>
      <c r="BT16" s="71"/>
      <c r="BU16" s="156"/>
      <c r="BV16" s="156"/>
      <c r="BW16" s="185">
        <v>0.11</v>
      </c>
      <c r="BX16" s="188">
        <v>1</v>
      </c>
      <c r="BY16" s="188">
        <f>BY15-0.003</f>
        <v>0.997</v>
      </c>
      <c r="BZ16" s="188">
        <v>0.99</v>
      </c>
    </row>
    <row r="17" spans="2:78" x14ac:dyDescent="0.2">
      <c r="B17" s="318" t="s">
        <v>372</v>
      </c>
      <c r="C17" s="320" t="s">
        <v>265</v>
      </c>
      <c r="D17" s="318" t="str">
        <f t="shared" si="12"/>
        <v>A319-100C-Check</v>
      </c>
      <c r="E17" s="387">
        <v>18</v>
      </c>
      <c r="F17" s="384"/>
      <c r="G17" s="384"/>
      <c r="H17" s="384">
        <f>AVERAGE(H15:H16)</f>
        <v>182300</v>
      </c>
      <c r="I17" s="381">
        <f t="shared" si="13"/>
        <v>40.51</v>
      </c>
      <c r="J17" s="384"/>
      <c r="K17" s="382"/>
      <c r="L17" s="382"/>
      <c r="M17" s="384">
        <f>H17*1.2</f>
        <v>218760</v>
      </c>
      <c r="N17" s="383">
        <f t="shared" si="14"/>
        <v>48.61</v>
      </c>
      <c r="O17" s="384"/>
      <c r="P17" s="382"/>
      <c r="Q17" s="382"/>
      <c r="R17" s="154"/>
      <c r="S17" s="166" t="s">
        <v>376</v>
      </c>
      <c r="T17" s="166">
        <v>100</v>
      </c>
      <c r="U17" s="177" t="s">
        <v>294</v>
      </c>
      <c r="V17" s="177" t="s">
        <v>300</v>
      </c>
      <c r="W17" s="177" t="str">
        <f t="shared" si="11"/>
        <v>A318-100 Brake Steel Overhaul ( x 4 )</v>
      </c>
      <c r="X17" s="172">
        <v>4</v>
      </c>
      <c r="Y17" s="169"/>
      <c r="Z17" s="169"/>
      <c r="AA17" s="169">
        <v>1400</v>
      </c>
      <c r="AB17" s="173"/>
      <c r="AC17" s="173"/>
      <c r="AD17" s="173">
        <v>300</v>
      </c>
      <c r="AE17" s="169">
        <v>7210</v>
      </c>
      <c r="AF17" s="169">
        <v>1000</v>
      </c>
      <c r="AG17" s="154"/>
      <c r="AH17" s="318" t="s">
        <v>388</v>
      </c>
      <c r="AI17" s="246">
        <v>2522</v>
      </c>
      <c r="AJ17" s="326" t="s">
        <v>427</v>
      </c>
      <c r="AK17" s="327">
        <v>22000</v>
      </c>
      <c r="AL17" s="325">
        <v>2</v>
      </c>
      <c r="AM17" s="384">
        <v>16000</v>
      </c>
      <c r="AN17" s="384">
        <v>1957000</v>
      </c>
      <c r="AO17" s="159">
        <f t="shared" si="7"/>
        <v>61.15625</v>
      </c>
      <c r="AP17" s="384">
        <f>ROUND(75%*AM17,-3)</f>
        <v>12000</v>
      </c>
      <c r="AQ17" s="380">
        <f>AN17*1.15</f>
        <v>2250550</v>
      </c>
      <c r="AR17" s="159">
        <f t="shared" si="2"/>
        <v>93.77291666666666</v>
      </c>
      <c r="AS17" s="331">
        <v>5000</v>
      </c>
      <c r="AT17" s="331">
        <v>12000</v>
      </c>
      <c r="AU17" s="333">
        <v>2000</v>
      </c>
      <c r="AV17" s="333">
        <v>2000</v>
      </c>
      <c r="AW17" s="333">
        <v>150000</v>
      </c>
      <c r="AX17" s="333">
        <v>200000</v>
      </c>
      <c r="AY17" s="154"/>
      <c r="AZ17" s="164" t="s">
        <v>154</v>
      </c>
      <c r="BA17" s="174" t="s">
        <v>165</v>
      </c>
      <c r="BB17" s="388">
        <v>25000</v>
      </c>
      <c r="BC17" s="388">
        <v>124400</v>
      </c>
      <c r="BD17" s="182">
        <f t="shared" si="3"/>
        <v>5</v>
      </c>
      <c r="BE17" s="14" t="str">
        <f>""</f>
        <v/>
      </c>
      <c r="BF17" s="335" t="s">
        <v>441</v>
      </c>
      <c r="BG17" s="388">
        <v>20000</v>
      </c>
      <c r="BH17" s="388">
        <v>71210</v>
      </c>
      <c r="BI17" s="390">
        <f t="shared" si="8"/>
        <v>3.6</v>
      </c>
      <c r="BT17" s="71"/>
      <c r="BU17" s="156"/>
      <c r="BV17" s="156"/>
      <c r="BW17" s="185">
        <v>0.12</v>
      </c>
      <c r="BX17" s="188">
        <v>1</v>
      </c>
      <c r="BY17" s="188">
        <f t="shared" ref="BY17:BY25" si="15">BY16-0.003</f>
        <v>0.99399999999999999</v>
      </c>
      <c r="BZ17" s="188">
        <v>0.98</v>
      </c>
    </row>
    <row r="18" spans="2:78" x14ac:dyDescent="0.2">
      <c r="B18" s="318" t="s">
        <v>372</v>
      </c>
      <c r="C18" s="318" t="s">
        <v>470</v>
      </c>
      <c r="D18" s="318" t="str">
        <f t="shared" si="12"/>
        <v>A319-1004C+6Y SI</v>
      </c>
      <c r="E18" s="387">
        <v>72</v>
      </c>
      <c r="F18" s="384"/>
      <c r="G18" s="384"/>
      <c r="H18" s="384">
        <v>784860</v>
      </c>
      <c r="I18" s="381">
        <f t="shared" si="13"/>
        <v>43.6</v>
      </c>
      <c r="J18" s="384">
        <v>30000</v>
      </c>
      <c r="K18" s="382">
        <f>IF(OR(H18="",J18=""),"",H18-J18)</f>
        <v>754860</v>
      </c>
      <c r="L18" s="382">
        <f>IF(OR(H18="",J18=""),"",H18+J18)</f>
        <v>814860</v>
      </c>
      <c r="M18" s="384">
        <f>H18*1.15</f>
        <v>902588.99999999988</v>
      </c>
      <c r="N18" s="383">
        <f t="shared" si="14"/>
        <v>50.14</v>
      </c>
      <c r="O18" s="384">
        <v>60000</v>
      </c>
      <c r="P18" s="382">
        <f t="shared" ref="P18:P24" si="16">IF(OR(M18="",O18=""),"",M18-O18)</f>
        <v>842588.99999999988</v>
      </c>
      <c r="Q18" s="382">
        <f t="shared" ref="Q18:Q24" si="17">IF(OR(M18="",O18=""),"",M18+O18)</f>
        <v>962588.99999999988</v>
      </c>
      <c r="R18" s="154"/>
      <c r="S18" s="166" t="s">
        <v>376</v>
      </c>
      <c r="T18" s="166">
        <v>100</v>
      </c>
      <c r="U18" s="177" t="s">
        <v>295</v>
      </c>
      <c r="V18" s="177" t="s">
        <v>300</v>
      </c>
      <c r="W18" s="177" t="str">
        <f t="shared" si="11"/>
        <v>A318-100 Brake Carbon Overhaul ( x 4 )</v>
      </c>
      <c r="X18" s="172">
        <v>4</v>
      </c>
      <c r="Y18" s="169"/>
      <c r="Z18" s="169"/>
      <c r="AA18" s="169">
        <v>2800</v>
      </c>
      <c r="AB18" s="173"/>
      <c r="AC18" s="173"/>
      <c r="AD18" s="173">
        <v>500</v>
      </c>
      <c r="AE18" s="169">
        <v>22660</v>
      </c>
      <c r="AF18" s="169">
        <v>2000</v>
      </c>
      <c r="AG18" s="154"/>
      <c r="AH18" s="318" t="s">
        <v>389</v>
      </c>
      <c r="AI18" s="246" t="s">
        <v>473</v>
      </c>
      <c r="AJ18" s="326" t="s">
        <v>427</v>
      </c>
      <c r="AK18" s="327">
        <v>22000</v>
      </c>
      <c r="AL18" s="325">
        <v>2</v>
      </c>
      <c r="AM18" s="384">
        <f>AM17+500</f>
        <v>16500</v>
      </c>
      <c r="AN18" s="384">
        <v>1957000</v>
      </c>
      <c r="AO18" s="159">
        <f t="shared" si="7"/>
        <v>59.303030303030305</v>
      </c>
      <c r="AP18" s="384">
        <v>12000</v>
      </c>
      <c r="AQ18" s="380">
        <f>AN18*1.15</f>
        <v>2250550</v>
      </c>
      <c r="AR18" s="159">
        <f t="shared" si="2"/>
        <v>93.77291666666666</v>
      </c>
      <c r="AS18" s="331">
        <v>5000</v>
      </c>
      <c r="AT18" s="331">
        <v>12000</v>
      </c>
      <c r="AU18" s="333">
        <v>2000</v>
      </c>
      <c r="AV18" s="333">
        <v>2000</v>
      </c>
      <c r="AW18" s="333">
        <v>150000</v>
      </c>
      <c r="AX18" s="333">
        <v>200000</v>
      </c>
      <c r="AY18" s="154"/>
      <c r="AZ18" s="164" t="str">
        <f>""</f>
        <v/>
      </c>
      <c r="BA18" s="174" t="s">
        <v>157</v>
      </c>
      <c r="BB18" s="388">
        <v>25000</v>
      </c>
      <c r="BC18" s="388">
        <v>189600</v>
      </c>
      <c r="BD18" s="182">
        <f t="shared" si="3"/>
        <v>7.6</v>
      </c>
      <c r="BE18" s="18" t="s">
        <v>154</v>
      </c>
      <c r="BF18" s="335" t="s">
        <v>442</v>
      </c>
      <c r="BG18" s="388">
        <v>20000</v>
      </c>
      <c r="BH18" s="388">
        <v>74330</v>
      </c>
      <c r="BI18" s="390">
        <f t="shared" si="8"/>
        <v>3.7</v>
      </c>
      <c r="BT18" s="71"/>
      <c r="BU18" s="156"/>
      <c r="BV18" s="156"/>
      <c r="BW18" s="185">
        <v>0.13</v>
      </c>
      <c r="BX18" s="188">
        <v>1</v>
      </c>
      <c r="BY18" s="188">
        <f t="shared" si="15"/>
        <v>0.99099999999999999</v>
      </c>
      <c r="BZ18" s="188">
        <v>0.97</v>
      </c>
    </row>
    <row r="19" spans="2:78" x14ac:dyDescent="0.2">
      <c r="B19" s="318" t="s">
        <v>372</v>
      </c>
      <c r="C19" s="318" t="s">
        <v>471</v>
      </c>
      <c r="D19" s="318" t="str">
        <f t="shared" si="12"/>
        <v>A319-1008C+12Y SI</v>
      </c>
      <c r="E19" s="387">
        <v>144</v>
      </c>
      <c r="F19" s="384"/>
      <c r="G19" s="384"/>
      <c r="H19" s="384">
        <v>880650</v>
      </c>
      <c r="I19" s="381">
        <f t="shared" si="13"/>
        <v>24.46</v>
      </c>
      <c r="J19" s="384">
        <v>30000</v>
      </c>
      <c r="K19" s="382">
        <f>IF(OR(H19="",J19=""),"",H19-J19)</f>
        <v>850650</v>
      </c>
      <c r="L19" s="382">
        <f>IF(OR(H19="",J19=""),"",H19+J19)</f>
        <v>910650</v>
      </c>
      <c r="M19" s="384">
        <f>H19*1.15</f>
        <v>1012747.4999999999</v>
      </c>
      <c r="N19" s="383">
        <f t="shared" si="14"/>
        <v>28.13</v>
      </c>
      <c r="O19" s="384">
        <v>60000</v>
      </c>
      <c r="P19" s="382">
        <f t="shared" si="16"/>
        <v>952747.49999999988</v>
      </c>
      <c r="Q19" s="382">
        <f t="shared" si="17"/>
        <v>1072747.5</v>
      </c>
      <c r="R19" s="154"/>
      <c r="S19" s="166"/>
      <c r="T19" s="166"/>
      <c r="U19" s="177"/>
      <c r="V19" s="177"/>
      <c r="W19" s="177"/>
      <c r="X19" s="172"/>
      <c r="Y19" s="169"/>
      <c r="Z19" s="169"/>
      <c r="AA19" s="169"/>
      <c r="AB19" s="173"/>
      <c r="AC19" s="173"/>
      <c r="AD19" s="173"/>
      <c r="AE19" s="178"/>
      <c r="AF19" s="169"/>
      <c r="AG19" s="154"/>
      <c r="AH19" s="321"/>
      <c r="AI19" s="246"/>
      <c r="AJ19" s="321"/>
      <c r="AK19" s="321"/>
      <c r="AL19" s="328"/>
      <c r="AM19" s="391"/>
      <c r="AN19" s="395"/>
      <c r="AO19" s="159" t="str">
        <f t="shared" si="7"/>
        <v/>
      </c>
      <c r="AP19" s="391"/>
      <c r="AQ19" s="391"/>
      <c r="AR19" s="159"/>
      <c r="AS19" s="393"/>
      <c r="AT19" s="393"/>
      <c r="AU19" s="393"/>
      <c r="AV19" s="393"/>
      <c r="AW19" s="393"/>
      <c r="AX19" s="393"/>
      <c r="AY19" s="154"/>
      <c r="AZ19" s="164" t="str">
        <f>""</f>
        <v/>
      </c>
      <c r="BA19" s="174" t="s">
        <v>166</v>
      </c>
      <c r="BB19" s="388">
        <v>25000</v>
      </c>
      <c r="BC19" s="388">
        <v>92260</v>
      </c>
      <c r="BD19" s="182">
        <f t="shared" si="3"/>
        <v>3.7</v>
      </c>
      <c r="BE19" s="14" t="str">
        <f>""</f>
        <v/>
      </c>
      <c r="BF19" s="335" t="s">
        <v>443</v>
      </c>
      <c r="BG19" s="388">
        <v>20000</v>
      </c>
      <c r="BH19" s="388">
        <v>89500</v>
      </c>
      <c r="BI19" s="390">
        <f t="shared" si="8"/>
        <v>4.5</v>
      </c>
      <c r="BT19" s="71"/>
      <c r="BU19" s="156"/>
      <c r="BV19" s="156"/>
      <c r="BW19" s="185">
        <v>0.14000000000000001</v>
      </c>
      <c r="BX19" s="188">
        <v>1</v>
      </c>
      <c r="BY19" s="188">
        <f t="shared" si="15"/>
        <v>0.98799999999999999</v>
      </c>
      <c r="BZ19" s="188">
        <v>0.96</v>
      </c>
    </row>
    <row r="20" spans="2:78" x14ac:dyDescent="0.2">
      <c r="B20" s="318" t="s">
        <v>372</v>
      </c>
      <c r="C20" s="318" t="s">
        <v>455</v>
      </c>
      <c r="D20" s="318" t="str">
        <f t="shared" si="12"/>
        <v>A319-1006Y SI</v>
      </c>
      <c r="E20" s="387">
        <v>72</v>
      </c>
      <c r="F20" s="384"/>
      <c r="G20" s="384"/>
      <c r="H20" s="384">
        <f>H18-H16</f>
        <v>585060</v>
      </c>
      <c r="I20" s="381">
        <f t="shared" si="13"/>
        <v>32.5</v>
      </c>
      <c r="J20" s="384">
        <v>30000</v>
      </c>
      <c r="K20" s="382">
        <f>IF(OR(H20="",J20=""),"",H20-J20)</f>
        <v>555060</v>
      </c>
      <c r="L20" s="382">
        <f>IF(OR(H20="",J20=""),"",H20+J20)</f>
        <v>615060</v>
      </c>
      <c r="M20" s="384">
        <f>M18-M16</f>
        <v>662828.99999999988</v>
      </c>
      <c r="N20" s="383">
        <f t="shared" si="14"/>
        <v>36.82</v>
      </c>
      <c r="O20" s="384">
        <v>60000</v>
      </c>
      <c r="P20" s="382">
        <f t="shared" si="16"/>
        <v>602828.99999999988</v>
      </c>
      <c r="Q20" s="382">
        <f t="shared" si="17"/>
        <v>722828.99999999988</v>
      </c>
      <c r="R20" s="154"/>
      <c r="S20" s="166" t="s">
        <v>377</v>
      </c>
      <c r="T20" s="166">
        <v>100</v>
      </c>
      <c r="U20" s="177" t="s">
        <v>290</v>
      </c>
      <c r="V20" s="177" t="s">
        <v>296</v>
      </c>
      <c r="W20" s="177" t="str">
        <f t="shared" si="11"/>
        <v>A319-100 Wheel MLG Replace ( x 4 )</v>
      </c>
      <c r="X20" s="172">
        <v>4</v>
      </c>
      <c r="Y20" s="169"/>
      <c r="Z20" s="169"/>
      <c r="AA20" s="169">
        <v>300</v>
      </c>
      <c r="AB20" s="173"/>
      <c r="AC20" s="173"/>
      <c r="AD20" s="173">
        <v>50</v>
      </c>
      <c r="AE20" s="169">
        <v>1850</v>
      </c>
      <c r="AF20" s="169">
        <v>250</v>
      </c>
      <c r="AG20" s="154"/>
      <c r="AH20" s="318" t="s">
        <v>390</v>
      </c>
      <c r="AI20" s="246">
        <v>2524</v>
      </c>
      <c r="AJ20" s="326" t="s">
        <v>427</v>
      </c>
      <c r="AK20" s="327">
        <v>24000</v>
      </c>
      <c r="AL20" s="325">
        <v>2</v>
      </c>
      <c r="AM20" s="384">
        <v>14750</v>
      </c>
      <c r="AN20" s="384">
        <v>2200000</v>
      </c>
      <c r="AO20" s="159">
        <f t="shared" si="7"/>
        <v>74.576271186440678</v>
      </c>
      <c r="AP20" s="384">
        <f>ROUND(75%*AM20,-3)</f>
        <v>11000</v>
      </c>
      <c r="AQ20" s="380">
        <f>AN20*1.15</f>
        <v>2530000</v>
      </c>
      <c r="AR20" s="159">
        <f t="shared" si="2"/>
        <v>115</v>
      </c>
      <c r="AS20" s="331">
        <v>5000</v>
      </c>
      <c r="AT20" s="331">
        <v>12000</v>
      </c>
      <c r="AU20" s="333">
        <v>2000</v>
      </c>
      <c r="AV20" s="333">
        <v>2000</v>
      </c>
      <c r="AW20" s="333">
        <v>150000</v>
      </c>
      <c r="AX20" s="333">
        <v>200000</v>
      </c>
      <c r="AY20" s="154"/>
      <c r="AZ20" s="164" t="str">
        <f>""</f>
        <v/>
      </c>
      <c r="BA20" s="174" t="s">
        <v>167</v>
      </c>
      <c r="BB20" s="388">
        <v>25000</v>
      </c>
      <c r="BC20" s="388">
        <v>106900</v>
      </c>
      <c r="BD20" s="182">
        <f t="shared" si="3"/>
        <v>4.3</v>
      </c>
      <c r="BE20" s="14" t="str">
        <f>""</f>
        <v/>
      </c>
      <c r="BF20" s="335" t="s">
        <v>444</v>
      </c>
      <c r="BG20" s="388">
        <v>20000</v>
      </c>
      <c r="BH20" s="388">
        <v>81790</v>
      </c>
      <c r="BI20" s="390">
        <f t="shared" si="8"/>
        <v>4.0999999999999996</v>
      </c>
      <c r="BT20" s="71"/>
      <c r="BU20" s="156"/>
      <c r="BV20" s="156"/>
      <c r="BW20" s="185">
        <v>0.15</v>
      </c>
      <c r="BX20" s="188">
        <v>1</v>
      </c>
      <c r="BY20" s="188">
        <f t="shared" si="15"/>
        <v>0.98499999999999999</v>
      </c>
      <c r="BZ20" s="188">
        <v>0.95</v>
      </c>
    </row>
    <row r="21" spans="2:78" x14ac:dyDescent="0.2">
      <c r="B21" s="318" t="s">
        <v>372</v>
      </c>
      <c r="C21" s="318" t="s">
        <v>240</v>
      </c>
      <c r="D21" s="318" t="str">
        <f t="shared" si="12"/>
        <v>A319-10012Y SI</v>
      </c>
      <c r="E21" s="387">
        <v>144</v>
      </c>
      <c r="F21" s="384"/>
      <c r="G21" s="384"/>
      <c r="H21" s="384">
        <f>H19</f>
        <v>880650</v>
      </c>
      <c r="I21" s="381">
        <f t="shared" si="13"/>
        <v>24.46</v>
      </c>
      <c r="J21" s="384">
        <v>30000</v>
      </c>
      <c r="K21" s="382">
        <f>IF(OR(H21="",J21=""),"",H21-J21)</f>
        <v>850650</v>
      </c>
      <c r="L21" s="382">
        <f>IF(OR(H21="",J21=""),"",H21+J21)</f>
        <v>910650</v>
      </c>
      <c r="M21" s="384">
        <f>M19</f>
        <v>1012747.4999999999</v>
      </c>
      <c r="N21" s="383">
        <f t="shared" si="14"/>
        <v>28.13</v>
      </c>
      <c r="O21" s="384">
        <v>60000</v>
      </c>
      <c r="P21" s="382">
        <f t="shared" si="16"/>
        <v>952747.49999999988</v>
      </c>
      <c r="Q21" s="382">
        <f t="shared" si="17"/>
        <v>1072747.5</v>
      </c>
      <c r="R21" s="154"/>
      <c r="S21" s="166" t="s">
        <v>377</v>
      </c>
      <c r="T21" s="166">
        <v>100</v>
      </c>
      <c r="U21" s="177" t="s">
        <v>291</v>
      </c>
      <c r="V21" s="177" t="s">
        <v>297</v>
      </c>
      <c r="W21" s="177" t="str">
        <f t="shared" si="11"/>
        <v>A319-100 Wheel NLG Replace ( x 2 )</v>
      </c>
      <c r="X21" s="172">
        <v>2</v>
      </c>
      <c r="Y21" s="169"/>
      <c r="Z21" s="169"/>
      <c r="AA21" s="169">
        <v>200</v>
      </c>
      <c r="AB21" s="173"/>
      <c r="AC21" s="173"/>
      <c r="AD21" s="173">
        <v>50</v>
      </c>
      <c r="AE21" s="169">
        <v>520</v>
      </c>
      <c r="AF21" s="169">
        <v>100</v>
      </c>
      <c r="AG21" s="154"/>
      <c r="AH21" s="318" t="s">
        <v>391</v>
      </c>
      <c r="AI21" s="246" t="s">
        <v>472</v>
      </c>
      <c r="AJ21" s="326" t="s">
        <v>427</v>
      </c>
      <c r="AK21" s="327">
        <v>24000</v>
      </c>
      <c r="AL21" s="325">
        <v>2</v>
      </c>
      <c r="AM21" s="384">
        <f>AM20+500</f>
        <v>15250</v>
      </c>
      <c r="AN21" s="384">
        <v>2200000</v>
      </c>
      <c r="AO21" s="159">
        <f t="shared" si="7"/>
        <v>72.131147540983605</v>
      </c>
      <c r="AP21" s="384">
        <f>ROUND(75%*AM21,-3)</f>
        <v>11000</v>
      </c>
      <c r="AQ21" s="380">
        <f>AN21*1.15</f>
        <v>2530000</v>
      </c>
      <c r="AR21" s="159">
        <f t="shared" si="2"/>
        <v>115</v>
      </c>
      <c r="AS21" s="331">
        <v>5000</v>
      </c>
      <c r="AT21" s="331">
        <v>12000</v>
      </c>
      <c r="AU21" s="333">
        <v>2000</v>
      </c>
      <c r="AV21" s="333">
        <v>2000</v>
      </c>
      <c r="AW21" s="333">
        <v>150000</v>
      </c>
      <c r="AX21" s="333">
        <v>200000</v>
      </c>
      <c r="AY21" s="154"/>
      <c r="AZ21" s="164" t="str">
        <f>""</f>
        <v/>
      </c>
      <c r="BA21" s="174" t="s">
        <v>168</v>
      </c>
      <c r="BB21" s="388">
        <v>25000</v>
      </c>
      <c r="BC21" s="388">
        <v>105100</v>
      </c>
      <c r="BD21" s="182">
        <f t="shared" si="3"/>
        <v>4.2</v>
      </c>
      <c r="BE21" s="14" t="str">
        <f>""</f>
        <v/>
      </c>
      <c r="BF21" s="335" t="s">
        <v>445</v>
      </c>
      <c r="BG21" s="388">
        <v>20000</v>
      </c>
      <c r="BH21" s="388">
        <v>119820</v>
      </c>
      <c r="BI21" s="390">
        <f t="shared" si="8"/>
        <v>6</v>
      </c>
      <c r="BL21" s="135"/>
      <c r="BT21" s="71"/>
      <c r="BU21" s="156"/>
      <c r="BV21" s="156"/>
      <c r="BW21" s="185">
        <v>0.16</v>
      </c>
      <c r="BX21" s="188">
        <v>1</v>
      </c>
      <c r="BY21" s="188">
        <f t="shared" si="15"/>
        <v>0.98199999999999998</v>
      </c>
      <c r="BZ21" s="188">
        <v>0.94</v>
      </c>
    </row>
    <row r="22" spans="2:78" x14ac:dyDescent="0.2">
      <c r="B22" s="166"/>
      <c r="C22" s="167"/>
      <c r="D22" s="166"/>
      <c r="E22" s="168"/>
      <c r="F22" s="169"/>
      <c r="G22" s="169"/>
      <c r="H22" s="169"/>
      <c r="I22" s="170"/>
      <c r="J22" s="169"/>
      <c r="K22" s="160"/>
      <c r="L22" s="160"/>
      <c r="M22" s="171"/>
      <c r="N22" s="159"/>
      <c r="O22" s="169"/>
      <c r="P22" s="160" t="str">
        <f t="shared" si="16"/>
        <v/>
      </c>
      <c r="Q22" s="160" t="str">
        <f t="shared" si="17"/>
        <v/>
      </c>
      <c r="R22" s="154"/>
      <c r="S22" s="166" t="s">
        <v>377</v>
      </c>
      <c r="T22" s="166">
        <v>100</v>
      </c>
      <c r="U22" s="177" t="s">
        <v>292</v>
      </c>
      <c r="V22" s="177" t="s">
        <v>298</v>
      </c>
      <c r="W22" s="177" t="str">
        <f t="shared" si="11"/>
        <v>A319-100 Tire MLG Retread ( x 4 )</v>
      </c>
      <c r="X22" s="172">
        <v>4</v>
      </c>
      <c r="Y22" s="169"/>
      <c r="Z22" s="169"/>
      <c r="AA22" s="169">
        <v>300</v>
      </c>
      <c r="AB22" s="173"/>
      <c r="AC22" s="173"/>
      <c r="AD22" s="173">
        <v>50</v>
      </c>
      <c r="AE22" s="169">
        <v>620</v>
      </c>
      <c r="AF22" s="169">
        <v>100</v>
      </c>
      <c r="AG22" s="154"/>
      <c r="AH22" s="321"/>
      <c r="AI22" s="246"/>
      <c r="AJ22" s="321"/>
      <c r="AK22" s="321"/>
      <c r="AL22" s="328"/>
      <c r="AM22" s="391"/>
      <c r="AN22" s="395"/>
      <c r="AO22" s="159" t="str">
        <f t="shared" si="7"/>
        <v/>
      </c>
      <c r="AP22" s="391"/>
      <c r="AQ22" s="391"/>
      <c r="AR22" s="159"/>
      <c r="AS22" s="393"/>
      <c r="AT22" s="393"/>
      <c r="AU22" s="393"/>
      <c r="AV22" s="393"/>
      <c r="AW22" s="393"/>
      <c r="AX22" s="393"/>
      <c r="AY22" s="154"/>
      <c r="AZ22" s="164" t="str">
        <f>""</f>
        <v/>
      </c>
      <c r="BA22" s="174" t="s">
        <v>169</v>
      </c>
      <c r="BB22" s="388">
        <v>25000</v>
      </c>
      <c r="BC22" s="388">
        <v>93430</v>
      </c>
      <c r="BD22" s="182">
        <f t="shared" si="3"/>
        <v>3.7</v>
      </c>
      <c r="BE22" s="14" t="str">
        <f>""</f>
        <v/>
      </c>
      <c r="BF22" s="335" t="s">
        <v>446</v>
      </c>
      <c r="BG22" s="388">
        <v>20000</v>
      </c>
      <c r="BH22" s="388">
        <v>87850</v>
      </c>
      <c r="BI22" s="390">
        <f t="shared" si="8"/>
        <v>4.4000000000000004</v>
      </c>
      <c r="BK22" s="27"/>
      <c r="BT22" s="71"/>
      <c r="BU22" s="156"/>
      <c r="BV22" s="156"/>
      <c r="BW22" s="185">
        <v>0.17</v>
      </c>
      <c r="BX22" s="188">
        <v>1</v>
      </c>
      <c r="BY22" s="188">
        <f t="shared" si="15"/>
        <v>0.97899999999999998</v>
      </c>
      <c r="BZ22" s="188">
        <v>0.92999999999999994</v>
      </c>
    </row>
    <row r="23" spans="2:78" x14ac:dyDescent="0.2">
      <c r="B23" s="318" t="s">
        <v>373</v>
      </c>
      <c r="C23" s="318" t="s">
        <v>191</v>
      </c>
      <c r="D23" s="318" t="str">
        <f t="shared" ref="D23:D30" si="18">IF(B23="","",B23&amp;C23)</f>
        <v>A320-200A-Check</v>
      </c>
      <c r="E23" s="379">
        <v>4</v>
      </c>
      <c r="F23" s="380">
        <v>750</v>
      </c>
      <c r="G23" s="380">
        <v>750</v>
      </c>
      <c r="H23" s="384">
        <v>9270</v>
      </c>
      <c r="I23" s="381">
        <f t="shared" ref="I23:I30" si="19">IF(OR(E23="",H23=""),"",ROUND((H23/E23)/(3000/12),2))</f>
        <v>9.27</v>
      </c>
      <c r="J23" s="384">
        <v>2000</v>
      </c>
      <c r="K23" s="382">
        <f>IF(OR(H23="",J23=""),"",H23-J23)</f>
        <v>7270</v>
      </c>
      <c r="L23" s="382">
        <f>IF(OR(H23="",J23=""),"",H23+J23)</f>
        <v>11270</v>
      </c>
      <c r="M23" s="384"/>
      <c r="N23" s="383" t="str">
        <f>IF(OR(E23="",M23=""),"",ROUND((M23/E23)/(3000/12),1))</f>
        <v/>
      </c>
      <c r="O23" s="384"/>
      <c r="P23" s="382" t="str">
        <f t="shared" si="16"/>
        <v/>
      </c>
      <c r="Q23" s="382" t="str">
        <f t="shared" si="17"/>
        <v/>
      </c>
      <c r="R23" s="154"/>
      <c r="S23" s="166" t="s">
        <v>377</v>
      </c>
      <c r="T23" s="166">
        <v>100</v>
      </c>
      <c r="U23" s="177" t="s">
        <v>293</v>
      </c>
      <c r="V23" s="177" t="s">
        <v>299</v>
      </c>
      <c r="W23" s="177" t="str">
        <f t="shared" si="11"/>
        <v>A319-100 Tire NLG Retread ( x 2 )</v>
      </c>
      <c r="X23" s="172">
        <v>2</v>
      </c>
      <c r="Y23" s="169"/>
      <c r="Z23" s="169"/>
      <c r="AA23" s="169">
        <v>200</v>
      </c>
      <c r="AB23" s="173"/>
      <c r="AC23" s="173"/>
      <c r="AD23" s="173">
        <v>50</v>
      </c>
      <c r="AE23" s="169">
        <v>310</v>
      </c>
      <c r="AF23" s="169">
        <v>100</v>
      </c>
      <c r="AG23" s="154"/>
      <c r="AH23" s="318"/>
      <c r="AI23" s="246"/>
      <c r="AJ23" s="326"/>
      <c r="AK23" s="327"/>
      <c r="AL23" s="325"/>
      <c r="AM23" s="384"/>
      <c r="AN23" s="384"/>
      <c r="AO23" s="159" t="str">
        <f t="shared" si="7"/>
        <v/>
      </c>
      <c r="AP23" s="384"/>
      <c r="AQ23" s="380"/>
      <c r="AR23" s="159"/>
      <c r="AS23" s="331"/>
      <c r="AT23" s="331"/>
      <c r="AU23" s="333"/>
      <c r="AV23" s="333"/>
      <c r="AW23" s="333"/>
      <c r="AX23" s="333"/>
      <c r="AY23" s="154"/>
      <c r="AZ23" s="164" t="str">
        <f>""</f>
        <v/>
      </c>
      <c r="BA23" s="174" t="str">
        <f>""</f>
        <v/>
      </c>
      <c r="BB23" s="396" t="str">
        <f>""</f>
        <v/>
      </c>
      <c r="BC23" s="396" t="str">
        <f>""</f>
        <v/>
      </c>
      <c r="BD23" s="182"/>
      <c r="BE23" s="14" t="str">
        <f>""</f>
        <v/>
      </c>
      <c r="BF23" s="335" t="s">
        <v>447</v>
      </c>
      <c r="BG23" s="388">
        <v>20000</v>
      </c>
      <c r="BH23" s="388">
        <v>57370</v>
      </c>
      <c r="BI23" s="390">
        <f t="shared" si="8"/>
        <v>2.9</v>
      </c>
      <c r="BK23" s="27"/>
      <c r="BT23" s="71"/>
      <c r="BU23" s="156"/>
      <c r="BV23" s="156"/>
      <c r="BW23" s="185">
        <v>0.18</v>
      </c>
      <c r="BX23" s="188">
        <v>1</v>
      </c>
      <c r="BY23" s="188">
        <f t="shared" si="15"/>
        <v>0.97599999999999998</v>
      </c>
      <c r="BZ23" s="188">
        <v>0.91999999999999993</v>
      </c>
    </row>
    <row r="24" spans="2:78" x14ac:dyDescent="0.2">
      <c r="B24" s="318" t="s">
        <v>373</v>
      </c>
      <c r="C24" s="320" t="s">
        <v>456</v>
      </c>
      <c r="D24" s="318" t="str">
        <f t="shared" si="18"/>
        <v>A320-2001C-Check</v>
      </c>
      <c r="E24" s="387">
        <v>18</v>
      </c>
      <c r="F24" s="384">
        <v>6000</v>
      </c>
      <c r="G24" s="384">
        <v>4500</v>
      </c>
      <c r="H24" s="384">
        <v>185400</v>
      </c>
      <c r="I24" s="381">
        <f t="shared" si="19"/>
        <v>41.2</v>
      </c>
      <c r="J24" s="384">
        <v>20000</v>
      </c>
      <c r="K24" s="382">
        <f>IF(OR(H24="",J24=""),"",H24-J24)</f>
        <v>165400</v>
      </c>
      <c r="L24" s="382">
        <f>IF(OR(H24="",J24=""),"",H24+J24)</f>
        <v>205400</v>
      </c>
      <c r="M24" s="384">
        <f>H24*1.2</f>
        <v>222480</v>
      </c>
      <c r="N24" s="383">
        <f t="shared" ref="N24:N30" si="20">IF(OR(E24="",M24=""),"",ROUND((M24/E24)/(3000/12),2))</f>
        <v>49.44</v>
      </c>
      <c r="O24" s="384">
        <v>40000</v>
      </c>
      <c r="P24" s="382">
        <f t="shared" si="16"/>
        <v>182480</v>
      </c>
      <c r="Q24" s="382">
        <f t="shared" si="17"/>
        <v>262480</v>
      </c>
      <c r="R24" s="154"/>
      <c r="S24" s="166" t="s">
        <v>377</v>
      </c>
      <c r="T24" s="166">
        <v>100</v>
      </c>
      <c r="U24" s="177" t="s">
        <v>292</v>
      </c>
      <c r="V24" s="177" t="s">
        <v>296</v>
      </c>
      <c r="W24" s="177" t="str">
        <f t="shared" si="11"/>
        <v>A319-100 Tire MLG Replace ( x 4 )</v>
      </c>
      <c r="X24" s="172">
        <v>4</v>
      </c>
      <c r="Y24" s="169"/>
      <c r="Z24" s="169"/>
      <c r="AA24" s="169">
        <v>1400</v>
      </c>
      <c r="AB24" s="173"/>
      <c r="AC24" s="173"/>
      <c r="AD24" s="173">
        <v>300</v>
      </c>
      <c r="AE24" s="169">
        <v>1650</v>
      </c>
      <c r="AF24" s="169">
        <v>200</v>
      </c>
      <c r="AG24" s="154"/>
      <c r="AH24" s="318"/>
      <c r="AI24" s="157"/>
      <c r="AJ24" s="326"/>
      <c r="AK24" s="327"/>
      <c r="AL24" s="325"/>
      <c r="AM24" s="384"/>
      <c r="AN24" s="384"/>
      <c r="AO24" s="159" t="str">
        <f t="shared" si="7"/>
        <v/>
      </c>
      <c r="AP24" s="384"/>
      <c r="AQ24" s="380"/>
      <c r="AR24" s="159" t="str">
        <f t="shared" si="2"/>
        <v/>
      </c>
      <c r="AS24" s="331"/>
      <c r="AT24" s="331"/>
      <c r="AU24" s="333"/>
      <c r="AV24" s="333"/>
      <c r="AW24" s="333"/>
      <c r="AX24" s="333"/>
      <c r="AY24" s="154"/>
      <c r="AZ24" s="164" t="str">
        <f>""</f>
        <v/>
      </c>
      <c r="BA24" s="174" t="str">
        <f>""</f>
        <v/>
      </c>
      <c r="BB24" s="396" t="str">
        <f>""</f>
        <v/>
      </c>
      <c r="BC24" s="396" t="str">
        <f>""</f>
        <v/>
      </c>
      <c r="BD24" s="182" t="str">
        <f t="shared" si="3"/>
        <v/>
      </c>
      <c r="BE24" s="14" t="str">
        <f>""</f>
        <v/>
      </c>
      <c r="BF24" s="335" t="s">
        <v>448</v>
      </c>
      <c r="BG24" s="388">
        <v>20000</v>
      </c>
      <c r="BH24" s="388">
        <v>100590</v>
      </c>
      <c r="BI24" s="390">
        <f t="shared" si="8"/>
        <v>5</v>
      </c>
      <c r="BK24" s="27"/>
      <c r="BT24" s="71"/>
      <c r="BU24" s="156"/>
      <c r="BV24" s="156"/>
      <c r="BW24" s="185">
        <v>0.19</v>
      </c>
      <c r="BX24" s="188">
        <v>1</v>
      </c>
      <c r="BY24" s="188">
        <f t="shared" si="15"/>
        <v>0.97299999999999998</v>
      </c>
      <c r="BZ24" s="188">
        <v>0.90999999999999992</v>
      </c>
    </row>
    <row r="25" spans="2:78" x14ac:dyDescent="0.2">
      <c r="B25" s="318" t="s">
        <v>373</v>
      </c>
      <c r="C25" s="320" t="s">
        <v>457</v>
      </c>
      <c r="D25" s="318" t="str">
        <f t="shared" si="18"/>
        <v>A320-2002C-Check</v>
      </c>
      <c r="E25" s="387">
        <v>18</v>
      </c>
      <c r="F25" s="384"/>
      <c r="G25" s="384"/>
      <c r="H25" s="384">
        <f>H24+35000</f>
        <v>220400</v>
      </c>
      <c r="I25" s="381">
        <f t="shared" si="19"/>
        <v>48.98</v>
      </c>
      <c r="J25" s="384"/>
      <c r="K25" s="382"/>
      <c r="L25" s="382"/>
      <c r="M25" s="384">
        <f>H25*1.2</f>
        <v>264480</v>
      </c>
      <c r="N25" s="383">
        <f t="shared" si="20"/>
        <v>58.77</v>
      </c>
      <c r="O25" s="384"/>
      <c r="P25" s="382"/>
      <c r="Q25" s="382"/>
      <c r="R25" s="154"/>
      <c r="S25" s="166" t="s">
        <v>377</v>
      </c>
      <c r="T25" s="166">
        <v>100</v>
      </c>
      <c r="U25" s="177" t="s">
        <v>293</v>
      </c>
      <c r="V25" s="177" t="s">
        <v>297</v>
      </c>
      <c r="W25" s="177" t="str">
        <f t="shared" si="11"/>
        <v>A319-100 Tire NLG Replace ( x 2 )</v>
      </c>
      <c r="X25" s="172">
        <v>2</v>
      </c>
      <c r="Y25" s="169"/>
      <c r="Z25" s="169"/>
      <c r="AA25" s="169">
        <v>1000</v>
      </c>
      <c r="AB25" s="173"/>
      <c r="AC25" s="173"/>
      <c r="AD25" s="173">
        <v>200</v>
      </c>
      <c r="AE25" s="169">
        <v>410</v>
      </c>
      <c r="AF25" s="169">
        <v>100</v>
      </c>
      <c r="AG25" s="154"/>
      <c r="AH25" s="318"/>
      <c r="AI25" s="246"/>
      <c r="AJ25" s="326"/>
      <c r="AK25" s="327"/>
      <c r="AL25" s="325"/>
      <c r="AM25" s="384"/>
      <c r="AN25" s="384"/>
      <c r="AO25" s="159" t="str">
        <f t="shared" si="7"/>
        <v/>
      </c>
      <c r="AP25" s="384"/>
      <c r="AQ25" s="380"/>
      <c r="AR25" s="159"/>
      <c r="AS25" s="331"/>
      <c r="AT25" s="331"/>
      <c r="AU25" s="333"/>
      <c r="AV25" s="333"/>
      <c r="AW25" s="333"/>
      <c r="AX25" s="333"/>
      <c r="AY25" s="154"/>
      <c r="AZ25" s="164" t="str">
        <f>""</f>
        <v/>
      </c>
      <c r="BA25" s="174" t="str">
        <f>""</f>
        <v/>
      </c>
      <c r="BB25" s="396" t="str">
        <f>""</f>
        <v/>
      </c>
      <c r="BC25" s="396" t="str">
        <f>""</f>
        <v/>
      </c>
      <c r="BD25" s="182" t="str">
        <f t="shared" si="3"/>
        <v/>
      </c>
      <c r="BE25" s="14" t="str">
        <f>""</f>
        <v/>
      </c>
      <c r="BF25" s="335" t="s">
        <v>449</v>
      </c>
      <c r="BG25" s="388">
        <v>20000</v>
      </c>
      <c r="BH25" s="388">
        <v>97930</v>
      </c>
      <c r="BI25" s="390">
        <f t="shared" si="8"/>
        <v>4.9000000000000004</v>
      </c>
      <c r="BK25" s="27"/>
      <c r="BT25" s="71"/>
      <c r="BU25" s="156"/>
      <c r="BV25" s="304"/>
      <c r="BW25" s="185">
        <v>0.2</v>
      </c>
      <c r="BX25" s="188">
        <v>1</v>
      </c>
      <c r="BY25" s="188">
        <f t="shared" si="15"/>
        <v>0.97</v>
      </c>
      <c r="BZ25" s="188">
        <v>0.9</v>
      </c>
    </row>
    <row r="26" spans="2:78" x14ac:dyDescent="0.2">
      <c r="B26" s="318" t="s">
        <v>373</v>
      </c>
      <c r="C26" s="320" t="s">
        <v>265</v>
      </c>
      <c r="D26" s="318" t="str">
        <f t="shared" si="18"/>
        <v>A320-200C-Check</v>
      </c>
      <c r="E26" s="387">
        <v>18</v>
      </c>
      <c r="F26" s="384"/>
      <c r="G26" s="384"/>
      <c r="H26" s="384">
        <f>AVERAGE(H24:H25)</f>
        <v>202900</v>
      </c>
      <c r="I26" s="381">
        <f t="shared" si="19"/>
        <v>45.09</v>
      </c>
      <c r="J26" s="384"/>
      <c r="K26" s="382"/>
      <c r="L26" s="382"/>
      <c r="M26" s="384">
        <f>H26*1.2</f>
        <v>243480</v>
      </c>
      <c r="N26" s="383">
        <f t="shared" si="20"/>
        <v>54.11</v>
      </c>
      <c r="O26" s="384"/>
      <c r="P26" s="382"/>
      <c r="Q26" s="382"/>
      <c r="R26" s="154"/>
      <c r="S26" s="166" t="s">
        <v>377</v>
      </c>
      <c r="T26" s="166">
        <v>100</v>
      </c>
      <c r="U26" s="177" t="s">
        <v>294</v>
      </c>
      <c r="V26" s="177" t="s">
        <v>300</v>
      </c>
      <c r="W26" s="177" t="str">
        <f t="shared" si="11"/>
        <v>A319-100 Brake Steel Overhaul ( x 4 )</v>
      </c>
      <c r="X26" s="172">
        <v>4</v>
      </c>
      <c r="Y26" s="169"/>
      <c r="Z26" s="169"/>
      <c r="AA26" s="169">
        <v>1400</v>
      </c>
      <c r="AB26" s="173"/>
      <c r="AC26" s="173"/>
      <c r="AD26" s="173">
        <v>300</v>
      </c>
      <c r="AE26" s="169">
        <v>7210</v>
      </c>
      <c r="AF26" s="169">
        <v>1000</v>
      </c>
      <c r="AG26" s="154"/>
      <c r="AH26" s="318" t="s">
        <v>392</v>
      </c>
      <c r="AI26" s="246" t="s">
        <v>416</v>
      </c>
      <c r="AJ26" s="326" t="s">
        <v>426</v>
      </c>
      <c r="AK26" s="327">
        <v>27000</v>
      </c>
      <c r="AL26" s="328">
        <v>2</v>
      </c>
      <c r="AM26" s="384">
        <v>12000</v>
      </c>
      <c r="AN26" s="384">
        <v>2350000</v>
      </c>
      <c r="AO26" s="159">
        <f t="shared" si="7"/>
        <v>97.916666666666671</v>
      </c>
      <c r="AP26" s="384">
        <v>8750</v>
      </c>
      <c r="AQ26" s="380">
        <f>AN26*1.05</f>
        <v>2467500</v>
      </c>
      <c r="AR26" s="159">
        <f t="shared" si="2"/>
        <v>141</v>
      </c>
      <c r="AS26" s="331">
        <v>5000</v>
      </c>
      <c r="AT26" s="331">
        <v>10000</v>
      </c>
      <c r="AU26" s="331">
        <v>1000</v>
      </c>
      <c r="AV26" s="331">
        <v>1000</v>
      </c>
      <c r="AW26" s="333">
        <v>150000</v>
      </c>
      <c r="AX26" s="333">
        <v>200000</v>
      </c>
      <c r="AY26" s="154"/>
      <c r="AZ26" s="164" t="str">
        <f>""</f>
        <v/>
      </c>
      <c r="BA26" s="174" t="str">
        <f>""</f>
        <v/>
      </c>
      <c r="BB26" s="396" t="str">
        <f>""</f>
        <v/>
      </c>
      <c r="BC26" s="396" t="str">
        <f>""</f>
        <v/>
      </c>
      <c r="BD26" s="182" t="str">
        <f t="shared" si="3"/>
        <v/>
      </c>
      <c r="BE26" s="14" t="str">
        <f>""</f>
        <v/>
      </c>
      <c r="BF26" s="335" t="s">
        <v>450</v>
      </c>
      <c r="BG26" s="388">
        <v>20000</v>
      </c>
      <c r="BH26" s="388">
        <v>51470</v>
      </c>
      <c r="BI26" s="390">
        <f t="shared" si="8"/>
        <v>2.6</v>
      </c>
      <c r="BK26" s="27"/>
      <c r="BT26" s="71"/>
      <c r="BU26" s="156"/>
    </row>
    <row r="27" spans="2:78" x14ac:dyDescent="0.2">
      <c r="B27" s="318" t="s">
        <v>373</v>
      </c>
      <c r="C27" s="318" t="s">
        <v>470</v>
      </c>
      <c r="D27" s="318" t="str">
        <f t="shared" si="18"/>
        <v>A320-2004C+6Y SI</v>
      </c>
      <c r="E27" s="387">
        <v>72</v>
      </c>
      <c r="F27" s="384"/>
      <c r="G27" s="384"/>
      <c r="H27" s="384">
        <v>827090</v>
      </c>
      <c r="I27" s="381">
        <f t="shared" si="19"/>
        <v>45.95</v>
      </c>
      <c r="J27" s="384">
        <v>30000</v>
      </c>
      <c r="K27" s="382">
        <f>IF(OR(H27="",J27=""),"",H27-J27)</f>
        <v>797090</v>
      </c>
      <c r="L27" s="382">
        <f>IF(OR(H27="",J27=""),"",H27+J27)</f>
        <v>857090</v>
      </c>
      <c r="M27" s="384">
        <f>(H27*1.15)</f>
        <v>951153.49999999988</v>
      </c>
      <c r="N27" s="383">
        <f t="shared" si="20"/>
        <v>52.84</v>
      </c>
      <c r="O27" s="384">
        <v>60000</v>
      </c>
      <c r="P27" s="382">
        <f t="shared" ref="P27:P33" si="21">IF(OR(M27="",O27=""),"",M27-O27)</f>
        <v>891153.49999999988</v>
      </c>
      <c r="Q27" s="382">
        <f t="shared" ref="Q27:Q33" si="22">IF(OR(M27="",O27=""),"",M27+O27)</f>
        <v>1011153.4999999999</v>
      </c>
      <c r="R27" s="154"/>
      <c r="S27" s="166" t="s">
        <v>377</v>
      </c>
      <c r="T27" s="166">
        <v>100</v>
      </c>
      <c r="U27" s="177" t="s">
        <v>295</v>
      </c>
      <c r="V27" s="177" t="s">
        <v>300</v>
      </c>
      <c r="W27" s="177" t="str">
        <f t="shared" si="11"/>
        <v>A319-100 Brake Carbon Overhaul ( x 4 )</v>
      </c>
      <c r="X27" s="172">
        <v>4</v>
      </c>
      <c r="Y27" s="169"/>
      <c r="Z27" s="169"/>
      <c r="AA27" s="169">
        <v>2800</v>
      </c>
      <c r="AB27" s="173"/>
      <c r="AC27" s="173"/>
      <c r="AD27" s="173">
        <v>500</v>
      </c>
      <c r="AE27" s="169">
        <v>22660</v>
      </c>
      <c r="AF27" s="169">
        <v>2000</v>
      </c>
      <c r="AG27" s="154"/>
      <c r="AH27" s="318" t="s">
        <v>393</v>
      </c>
      <c r="AI27" s="246" t="s">
        <v>417</v>
      </c>
      <c r="AJ27" s="326" t="s">
        <v>426</v>
      </c>
      <c r="AK27" s="327">
        <v>27000</v>
      </c>
      <c r="AL27" s="328">
        <v>2</v>
      </c>
      <c r="AM27" s="384">
        <v>12500</v>
      </c>
      <c r="AN27" s="384">
        <v>2350000</v>
      </c>
      <c r="AO27" s="159">
        <f t="shared" si="7"/>
        <v>94</v>
      </c>
      <c r="AP27" s="384">
        <v>9250</v>
      </c>
      <c r="AQ27" s="380">
        <f>AN27*1.05</f>
        <v>2467500</v>
      </c>
      <c r="AR27" s="159">
        <f t="shared" si="2"/>
        <v>133.37837837837839</v>
      </c>
      <c r="AS27" s="331">
        <v>5000</v>
      </c>
      <c r="AT27" s="331">
        <v>10000</v>
      </c>
      <c r="AU27" s="331">
        <v>1000</v>
      </c>
      <c r="AV27" s="331">
        <v>1000</v>
      </c>
      <c r="AW27" s="333">
        <v>150000</v>
      </c>
      <c r="AX27" s="333">
        <v>200000</v>
      </c>
      <c r="AY27" s="154"/>
      <c r="AZ27" s="164" t="str">
        <f>""</f>
        <v/>
      </c>
      <c r="BA27" s="174" t="str">
        <f>""</f>
        <v/>
      </c>
      <c r="BB27" s="396" t="str">
        <f>""</f>
        <v/>
      </c>
      <c r="BC27" s="396" t="str">
        <f>""</f>
        <v/>
      </c>
      <c r="BD27" s="182" t="str">
        <f t="shared" si="3"/>
        <v/>
      </c>
      <c r="BE27" s="14" t="str">
        <f>""</f>
        <v/>
      </c>
      <c r="BF27" s="335" t="s">
        <v>451</v>
      </c>
      <c r="BG27" s="388">
        <v>20000</v>
      </c>
      <c r="BH27" s="388">
        <v>25880</v>
      </c>
      <c r="BI27" s="390">
        <f t="shared" si="8"/>
        <v>1.3</v>
      </c>
      <c r="BK27" s="27"/>
      <c r="BT27" s="71"/>
      <c r="BU27" s="156"/>
    </row>
    <row r="28" spans="2:78" ht="12" x14ac:dyDescent="0.2">
      <c r="B28" s="318" t="s">
        <v>373</v>
      </c>
      <c r="C28" s="318" t="s">
        <v>471</v>
      </c>
      <c r="D28" s="318" t="str">
        <f t="shared" si="18"/>
        <v>A320-2008C+12Y SI</v>
      </c>
      <c r="E28" s="387">
        <v>144</v>
      </c>
      <c r="F28" s="384"/>
      <c r="G28" s="384"/>
      <c r="H28" s="384">
        <v>902280</v>
      </c>
      <c r="I28" s="381">
        <f t="shared" si="19"/>
        <v>25.06</v>
      </c>
      <c r="J28" s="384">
        <v>30000</v>
      </c>
      <c r="K28" s="382">
        <f>IF(OR(H28="",J28=""),"",H28-J28)</f>
        <v>872280</v>
      </c>
      <c r="L28" s="382">
        <f>IF(OR(H28="",J28=""),"",H28+J28)</f>
        <v>932280</v>
      </c>
      <c r="M28" s="384">
        <f>H28*1.15</f>
        <v>1037621.9999999999</v>
      </c>
      <c r="N28" s="383">
        <f t="shared" si="20"/>
        <v>28.82</v>
      </c>
      <c r="O28" s="384">
        <v>60000</v>
      </c>
      <c r="P28" s="382">
        <f t="shared" si="21"/>
        <v>977621.99999999988</v>
      </c>
      <c r="Q28" s="382">
        <f t="shared" si="22"/>
        <v>1097622</v>
      </c>
      <c r="R28" s="154"/>
      <c r="S28" s="166"/>
      <c r="T28" s="166"/>
      <c r="U28" s="177"/>
      <c r="V28" s="177"/>
      <c r="W28" s="177"/>
      <c r="X28" s="172"/>
      <c r="Y28" s="169"/>
      <c r="Z28" s="169"/>
      <c r="AA28" s="169"/>
      <c r="AB28" s="173"/>
      <c r="AC28" s="173"/>
      <c r="AD28" s="173"/>
      <c r="AE28" s="178"/>
      <c r="AF28" s="169"/>
      <c r="AG28" s="154"/>
      <c r="AH28" s="321"/>
      <c r="AI28" s="177"/>
      <c r="AJ28" s="321"/>
      <c r="AK28" s="321"/>
      <c r="AL28" s="328"/>
      <c r="AM28" s="391"/>
      <c r="AN28" s="395"/>
      <c r="AO28" s="159"/>
      <c r="AP28" s="391"/>
      <c r="AQ28" s="391"/>
      <c r="AR28" s="159"/>
      <c r="AS28" s="393"/>
      <c r="AT28" s="393"/>
      <c r="AU28" s="393"/>
      <c r="AV28" s="393"/>
      <c r="AW28" s="393"/>
      <c r="AX28" s="393"/>
      <c r="AY28" s="154"/>
      <c r="AZ28" s="164" t="str">
        <f>""</f>
        <v/>
      </c>
      <c r="BA28" s="174" t="str">
        <f>""</f>
        <v/>
      </c>
      <c r="BB28" s="396" t="str">
        <f>""</f>
        <v/>
      </c>
      <c r="BC28" s="396" t="str">
        <f>""</f>
        <v/>
      </c>
      <c r="BD28" s="182" t="str">
        <f t="shared" si="3"/>
        <v/>
      </c>
      <c r="BE28" s="14" t="str">
        <f>""</f>
        <v/>
      </c>
      <c r="BF28" s="335" t="s">
        <v>452</v>
      </c>
      <c r="BG28" s="388">
        <v>20000</v>
      </c>
      <c r="BH28" s="388">
        <v>44950</v>
      </c>
      <c r="BI28" s="390">
        <f t="shared" si="8"/>
        <v>2.2000000000000002</v>
      </c>
      <c r="BK28" s="27"/>
      <c r="BT28" s="71"/>
      <c r="BU28" s="156"/>
      <c r="BY28" s="128"/>
    </row>
    <row r="29" spans="2:78" ht="12" x14ac:dyDescent="0.2">
      <c r="B29" s="318" t="s">
        <v>373</v>
      </c>
      <c r="C29" s="318" t="s">
        <v>455</v>
      </c>
      <c r="D29" s="318" t="str">
        <f t="shared" si="18"/>
        <v>A320-2006Y SI</v>
      </c>
      <c r="E29" s="387">
        <v>72</v>
      </c>
      <c r="F29" s="384"/>
      <c r="G29" s="384"/>
      <c r="H29" s="384">
        <f>H27-H25</f>
        <v>606690</v>
      </c>
      <c r="I29" s="381">
        <f t="shared" si="19"/>
        <v>33.71</v>
      </c>
      <c r="J29" s="384">
        <v>30000</v>
      </c>
      <c r="K29" s="382">
        <f>IF(OR(H29="",J29=""),"",H29-J29)</f>
        <v>576690</v>
      </c>
      <c r="L29" s="382">
        <f>IF(OR(H29="",J29=""),"",H29+J29)</f>
        <v>636690</v>
      </c>
      <c r="M29" s="384">
        <f>M27-M25</f>
        <v>686673.49999999988</v>
      </c>
      <c r="N29" s="383">
        <f t="shared" si="20"/>
        <v>38.15</v>
      </c>
      <c r="O29" s="384">
        <v>60000</v>
      </c>
      <c r="P29" s="382">
        <f t="shared" si="21"/>
        <v>626673.49999999988</v>
      </c>
      <c r="Q29" s="382">
        <f t="shared" si="22"/>
        <v>746673.49999999988</v>
      </c>
      <c r="R29" s="154"/>
      <c r="S29" s="166" t="s">
        <v>378</v>
      </c>
      <c r="T29" s="166">
        <v>200</v>
      </c>
      <c r="U29" s="177" t="s">
        <v>290</v>
      </c>
      <c r="V29" s="177" t="s">
        <v>296</v>
      </c>
      <c r="W29" s="177" t="str">
        <f t="shared" si="11"/>
        <v>A320-200 Wheel MLG Replace ( x 4 )</v>
      </c>
      <c r="X29" s="172">
        <v>4</v>
      </c>
      <c r="Y29" s="169"/>
      <c r="Z29" s="169"/>
      <c r="AA29" s="169">
        <v>300</v>
      </c>
      <c r="AB29" s="173"/>
      <c r="AC29" s="173"/>
      <c r="AD29" s="173">
        <v>50</v>
      </c>
      <c r="AE29" s="169">
        <v>1850</v>
      </c>
      <c r="AF29" s="169">
        <v>250</v>
      </c>
      <c r="AG29" s="154"/>
      <c r="AH29" s="318" t="s">
        <v>394</v>
      </c>
      <c r="AI29" s="246" t="s">
        <v>418</v>
      </c>
      <c r="AJ29" s="326" t="s">
        <v>426</v>
      </c>
      <c r="AK29" s="327">
        <v>27000</v>
      </c>
      <c r="AL29" s="328">
        <v>2</v>
      </c>
      <c r="AM29" s="384">
        <v>13000</v>
      </c>
      <c r="AN29" s="384">
        <v>2320500</v>
      </c>
      <c r="AO29" s="159">
        <f t="shared" si="7"/>
        <v>89.25</v>
      </c>
      <c r="AP29" s="384">
        <v>8750</v>
      </c>
      <c r="AQ29" s="380">
        <f>AN29*1.05</f>
        <v>2436525</v>
      </c>
      <c r="AR29" s="159">
        <f t="shared" si="2"/>
        <v>139.22999999999999</v>
      </c>
      <c r="AS29" s="331">
        <v>5000</v>
      </c>
      <c r="AT29" s="331">
        <v>10000</v>
      </c>
      <c r="AU29" s="331">
        <v>1000</v>
      </c>
      <c r="AV29" s="331">
        <v>1000</v>
      </c>
      <c r="AW29" s="333">
        <v>150000</v>
      </c>
      <c r="AX29" s="333">
        <v>200000</v>
      </c>
      <c r="AY29" s="154"/>
      <c r="AZ29" s="164" t="str">
        <f>""</f>
        <v/>
      </c>
      <c r="BA29" s="174" t="str">
        <f>""</f>
        <v/>
      </c>
      <c r="BB29" s="396" t="str">
        <f>""</f>
        <v/>
      </c>
      <c r="BC29" s="396" t="str">
        <f>""</f>
        <v/>
      </c>
      <c r="BD29" s="183" t="str">
        <f t="shared" si="3"/>
        <v/>
      </c>
      <c r="BE29" s="14" t="str">
        <f>""</f>
        <v/>
      </c>
      <c r="BF29" s="358" t="s">
        <v>157</v>
      </c>
      <c r="BG29" s="397">
        <v>20000</v>
      </c>
      <c r="BH29" s="397">
        <v>90020</v>
      </c>
      <c r="BI29" s="398">
        <f t="shared" si="8"/>
        <v>4.5</v>
      </c>
      <c r="BK29" s="27"/>
      <c r="BT29" s="71"/>
      <c r="BU29" s="156"/>
      <c r="BY29" s="128"/>
    </row>
    <row r="30" spans="2:78" ht="12" x14ac:dyDescent="0.2">
      <c r="B30" s="318" t="s">
        <v>373</v>
      </c>
      <c r="C30" s="318" t="s">
        <v>240</v>
      </c>
      <c r="D30" s="318" t="str">
        <f t="shared" si="18"/>
        <v>A320-20012Y SI</v>
      </c>
      <c r="E30" s="387">
        <v>144</v>
      </c>
      <c r="F30" s="384"/>
      <c r="G30" s="384"/>
      <c r="H30" s="384">
        <f>H28</f>
        <v>902280</v>
      </c>
      <c r="I30" s="381">
        <f t="shared" si="19"/>
        <v>25.06</v>
      </c>
      <c r="J30" s="384">
        <v>30000</v>
      </c>
      <c r="K30" s="382">
        <f>IF(OR(H30="",J30=""),"",H30-J30)</f>
        <v>872280</v>
      </c>
      <c r="L30" s="382">
        <f>IF(OR(H30="",J30=""),"",H30+J30)</f>
        <v>932280</v>
      </c>
      <c r="M30" s="384">
        <f>M28</f>
        <v>1037621.9999999999</v>
      </c>
      <c r="N30" s="383">
        <f t="shared" si="20"/>
        <v>28.82</v>
      </c>
      <c r="O30" s="384">
        <v>60000</v>
      </c>
      <c r="P30" s="382">
        <f t="shared" si="21"/>
        <v>977621.99999999988</v>
      </c>
      <c r="Q30" s="382">
        <f t="shared" si="22"/>
        <v>1097622</v>
      </c>
      <c r="R30" s="154"/>
      <c r="S30" s="166" t="s">
        <v>378</v>
      </c>
      <c r="T30" s="166">
        <v>200</v>
      </c>
      <c r="U30" s="177" t="s">
        <v>291</v>
      </c>
      <c r="V30" s="177" t="s">
        <v>297</v>
      </c>
      <c r="W30" s="177" t="str">
        <f t="shared" si="11"/>
        <v>A320-200 Wheel NLG Replace ( x 2 )</v>
      </c>
      <c r="X30" s="172">
        <v>2</v>
      </c>
      <c r="Y30" s="169"/>
      <c r="Z30" s="169"/>
      <c r="AA30" s="169">
        <v>200</v>
      </c>
      <c r="AB30" s="173"/>
      <c r="AC30" s="173"/>
      <c r="AD30" s="173">
        <v>50</v>
      </c>
      <c r="AE30" s="169">
        <v>520</v>
      </c>
      <c r="AF30" s="169">
        <v>100</v>
      </c>
      <c r="AG30" s="154"/>
      <c r="AH30" s="318" t="s">
        <v>395</v>
      </c>
      <c r="AI30" s="246" t="s">
        <v>419</v>
      </c>
      <c r="AJ30" s="326" t="s">
        <v>426</v>
      </c>
      <c r="AK30" s="327">
        <v>27000</v>
      </c>
      <c r="AL30" s="328">
        <v>2</v>
      </c>
      <c r="AM30" s="384">
        <f>AM29+500</f>
        <v>13500</v>
      </c>
      <c r="AN30" s="384">
        <v>2320500</v>
      </c>
      <c r="AO30" s="159">
        <f t="shared" si="7"/>
        <v>85.944444444444443</v>
      </c>
      <c r="AP30" s="384">
        <v>9250</v>
      </c>
      <c r="AQ30" s="380">
        <f>AN30*1.05</f>
        <v>2436525</v>
      </c>
      <c r="AR30" s="159">
        <f t="shared" si="2"/>
        <v>131.70405405405404</v>
      </c>
      <c r="AS30" s="331">
        <v>5000</v>
      </c>
      <c r="AT30" s="331">
        <v>10000</v>
      </c>
      <c r="AU30" s="331">
        <v>1000</v>
      </c>
      <c r="AV30" s="331">
        <v>1000</v>
      </c>
      <c r="AW30" s="333">
        <v>150000</v>
      </c>
      <c r="AX30" s="333">
        <v>200000</v>
      </c>
      <c r="AY30" s="154"/>
      <c r="AZ30" s="359"/>
      <c r="BA30" s="361">
        <f>COUNT(BB5:BB29)</f>
        <v>18</v>
      </c>
      <c r="BB30" s="362">
        <f>ROUND(AVERAGE(BB5:BB22),-3)</f>
        <v>23000</v>
      </c>
      <c r="BC30" s="362">
        <f>ROUND(SUM(BC5:BC23),-3)</f>
        <v>2591000</v>
      </c>
      <c r="BD30" s="399">
        <f>SUM(BD5:BD23)</f>
        <v>112.80000000000001</v>
      </c>
      <c r="BE30" s="360"/>
      <c r="BF30" s="361">
        <f>COUNT(BG5:BG29)</f>
        <v>25</v>
      </c>
      <c r="BG30" s="362">
        <f>AVERAGE(BG5:BG29)</f>
        <v>20000</v>
      </c>
      <c r="BH30" s="362">
        <f>SUM(BH5:BH29)</f>
        <v>2822530</v>
      </c>
      <c r="BI30" s="399">
        <f>SUM(BI5:BI29)</f>
        <v>141.39999999999998</v>
      </c>
      <c r="BK30" s="27"/>
      <c r="BT30" s="71"/>
      <c r="BU30" s="156"/>
      <c r="BY30" s="128"/>
    </row>
    <row r="31" spans="2:78" ht="12" x14ac:dyDescent="0.2">
      <c r="B31" s="166"/>
      <c r="C31" s="167"/>
      <c r="D31" s="166"/>
      <c r="E31" s="168"/>
      <c r="F31" s="169"/>
      <c r="G31" s="169"/>
      <c r="H31" s="169"/>
      <c r="I31" s="170"/>
      <c r="J31" s="169"/>
      <c r="K31" s="160"/>
      <c r="L31" s="160"/>
      <c r="M31" s="171"/>
      <c r="N31" s="159"/>
      <c r="O31" s="169"/>
      <c r="P31" s="160" t="str">
        <f t="shared" si="21"/>
        <v/>
      </c>
      <c r="Q31" s="160" t="str">
        <f t="shared" si="22"/>
        <v/>
      </c>
      <c r="R31" s="154"/>
      <c r="S31" s="166" t="s">
        <v>378</v>
      </c>
      <c r="T31" s="166">
        <v>200</v>
      </c>
      <c r="U31" s="177" t="s">
        <v>292</v>
      </c>
      <c r="V31" s="177" t="s">
        <v>298</v>
      </c>
      <c r="W31" s="177" t="str">
        <f t="shared" si="11"/>
        <v>A320-200 Tire MLG Retread ( x 4 )</v>
      </c>
      <c r="X31" s="172">
        <v>4</v>
      </c>
      <c r="Y31" s="169"/>
      <c r="Z31" s="169"/>
      <c r="AA31" s="169">
        <v>300</v>
      </c>
      <c r="AB31" s="173"/>
      <c r="AC31" s="173"/>
      <c r="AD31" s="173">
        <v>50</v>
      </c>
      <c r="AE31" s="169">
        <v>620</v>
      </c>
      <c r="AF31" s="169">
        <v>100</v>
      </c>
      <c r="AG31" s="154"/>
      <c r="AH31" s="318"/>
      <c r="AI31" s="166"/>
      <c r="AJ31" s="326"/>
      <c r="AK31" s="327"/>
      <c r="AL31" s="325"/>
      <c r="AM31" s="384"/>
      <c r="AN31" s="394"/>
      <c r="AO31" s="159"/>
      <c r="AP31" s="384"/>
      <c r="AQ31" s="380"/>
      <c r="AR31" s="159"/>
      <c r="AS31" s="331"/>
      <c r="AT31" s="331"/>
      <c r="AU31" s="333"/>
      <c r="AV31" s="333"/>
      <c r="AW31" s="333"/>
      <c r="AX31" s="333"/>
      <c r="AY31" s="154"/>
      <c r="AZ31" s="359"/>
      <c r="BA31" s="361" t="s">
        <v>220</v>
      </c>
      <c r="BB31" s="362">
        <f>MIN(BB5:BB29)</f>
        <v>20000</v>
      </c>
      <c r="BC31" s="362"/>
      <c r="BD31" s="399"/>
      <c r="BE31" s="360"/>
      <c r="BF31" s="361"/>
      <c r="BG31" s="362">
        <f>MIN(BG5:BG29)</f>
        <v>20000</v>
      </c>
      <c r="BH31" s="362"/>
      <c r="BI31" s="362"/>
      <c r="BK31" s="27"/>
      <c r="BT31" s="71"/>
      <c r="BU31" s="156"/>
      <c r="BY31" s="128"/>
    </row>
    <row r="32" spans="2:78" x14ac:dyDescent="0.2">
      <c r="B32" s="318" t="s">
        <v>374</v>
      </c>
      <c r="C32" s="318" t="s">
        <v>191</v>
      </c>
      <c r="D32" s="318" t="str">
        <f t="shared" ref="D32:D45" si="23">IF(B32="","",B32&amp;C32)</f>
        <v>A321-200A-Check</v>
      </c>
      <c r="E32" s="379">
        <v>4</v>
      </c>
      <c r="F32" s="380">
        <v>750</v>
      </c>
      <c r="G32" s="380">
        <v>750</v>
      </c>
      <c r="H32" s="384">
        <v>9270</v>
      </c>
      <c r="I32" s="381">
        <f t="shared" ref="I32:I39" si="24">IF(OR(E32="",H32=""),"",ROUND((H32/E32)/(3000/12),2))</f>
        <v>9.27</v>
      </c>
      <c r="J32" s="384">
        <v>2000</v>
      </c>
      <c r="K32" s="382">
        <f>IF(OR(H32="",J32=""),"",H32-J32)</f>
        <v>7270</v>
      </c>
      <c r="L32" s="382">
        <f>IF(OR(H32="",J32=""),"",H32+J32)</f>
        <v>11270</v>
      </c>
      <c r="M32" s="384"/>
      <c r="N32" s="383" t="str">
        <f>IF(OR(E32="",M32=""),"",ROUND((M32/E32)/(3000/12),1))</f>
        <v/>
      </c>
      <c r="O32" s="384"/>
      <c r="P32" s="382" t="str">
        <f t="shared" si="21"/>
        <v/>
      </c>
      <c r="Q32" s="382" t="str">
        <f t="shared" si="22"/>
        <v/>
      </c>
      <c r="R32" s="154"/>
      <c r="S32" s="166" t="s">
        <v>378</v>
      </c>
      <c r="T32" s="166">
        <v>200</v>
      </c>
      <c r="U32" s="177" t="s">
        <v>293</v>
      </c>
      <c r="V32" s="177" t="s">
        <v>299</v>
      </c>
      <c r="W32" s="177" t="str">
        <f t="shared" si="11"/>
        <v>A320-200 Tire NLG Retread ( x 2 )</v>
      </c>
      <c r="X32" s="172">
        <v>2</v>
      </c>
      <c r="Y32" s="169"/>
      <c r="Z32" s="169"/>
      <c r="AA32" s="169">
        <v>200</v>
      </c>
      <c r="AB32" s="173"/>
      <c r="AC32" s="173"/>
      <c r="AD32" s="173">
        <v>50</v>
      </c>
      <c r="AE32" s="169">
        <v>310</v>
      </c>
      <c r="AF32" s="169">
        <v>100</v>
      </c>
      <c r="AG32" s="154"/>
      <c r="AH32" s="318" t="s">
        <v>396</v>
      </c>
      <c r="AI32" s="246" t="s">
        <v>420</v>
      </c>
      <c r="AJ32" s="326" t="s">
        <v>426</v>
      </c>
      <c r="AK32" s="327">
        <v>30000</v>
      </c>
      <c r="AL32" s="328">
        <v>2</v>
      </c>
      <c r="AM32" s="384">
        <v>10500</v>
      </c>
      <c r="AN32" s="384">
        <v>2317500</v>
      </c>
      <c r="AO32" s="159">
        <f t="shared" si="7"/>
        <v>110.35714285714286</v>
      </c>
      <c r="AP32" s="384">
        <v>7500</v>
      </c>
      <c r="AQ32" s="380">
        <f>AN32*1.05</f>
        <v>2433375</v>
      </c>
      <c r="AR32" s="159">
        <f t="shared" si="2"/>
        <v>162.22499999999999</v>
      </c>
      <c r="AS32" s="331">
        <v>4000</v>
      </c>
      <c r="AT32" s="331">
        <v>7000</v>
      </c>
      <c r="AU32" s="331">
        <v>1000</v>
      </c>
      <c r="AV32" s="331">
        <v>1000</v>
      </c>
      <c r="AW32" s="333">
        <v>150000</v>
      </c>
      <c r="AX32" s="333">
        <v>200000</v>
      </c>
      <c r="AY32" s="154"/>
      <c r="AZ32" s="154"/>
      <c r="BA32" s="154"/>
      <c r="BB32" s="154"/>
      <c r="BC32" s="154"/>
      <c r="BD32" s="154"/>
      <c r="BE32" s="154"/>
      <c r="BF32" s="154"/>
      <c r="BG32" s="154"/>
      <c r="BH32" s="154"/>
      <c r="BI32" s="154"/>
      <c r="BT32" s="71"/>
      <c r="BU32" s="156"/>
    </row>
    <row r="33" spans="2:73" x14ac:dyDescent="0.2">
      <c r="B33" s="318" t="s">
        <v>374</v>
      </c>
      <c r="C33" s="320" t="s">
        <v>456</v>
      </c>
      <c r="D33" s="318" t="str">
        <f t="shared" si="23"/>
        <v>A321-2001C-Check</v>
      </c>
      <c r="E33" s="387">
        <v>18</v>
      </c>
      <c r="F33" s="384">
        <v>6000</v>
      </c>
      <c r="G33" s="384">
        <v>4500</v>
      </c>
      <c r="H33" s="384">
        <v>206000</v>
      </c>
      <c r="I33" s="381">
        <f t="shared" si="24"/>
        <v>45.78</v>
      </c>
      <c r="J33" s="384">
        <v>20000</v>
      </c>
      <c r="K33" s="382">
        <f>IF(OR(H33="",J33=""),"",H33-J33)</f>
        <v>186000</v>
      </c>
      <c r="L33" s="382">
        <f>IF(OR(H33="",J33=""),"",H33+J33)</f>
        <v>226000</v>
      </c>
      <c r="M33" s="384">
        <f>H33*1.2</f>
        <v>247200</v>
      </c>
      <c r="N33" s="383">
        <f t="shared" ref="N33:N39" si="25">IF(OR(E33="",M33=""),"",ROUND((M33/E33)/(3000/12),2))</f>
        <v>54.93</v>
      </c>
      <c r="O33" s="384">
        <v>40000</v>
      </c>
      <c r="P33" s="382">
        <f t="shared" si="21"/>
        <v>207200</v>
      </c>
      <c r="Q33" s="382">
        <f t="shared" si="22"/>
        <v>287200</v>
      </c>
      <c r="R33" s="154"/>
      <c r="S33" s="166" t="s">
        <v>378</v>
      </c>
      <c r="T33" s="166">
        <v>200</v>
      </c>
      <c r="U33" s="177" t="s">
        <v>292</v>
      </c>
      <c r="V33" s="177" t="s">
        <v>296</v>
      </c>
      <c r="W33" s="177" t="str">
        <f t="shared" si="11"/>
        <v>A320-200 Tire MLG Replace ( x 4 )</v>
      </c>
      <c r="X33" s="172">
        <v>4</v>
      </c>
      <c r="Y33" s="169"/>
      <c r="Z33" s="169"/>
      <c r="AA33" s="169">
        <v>1400</v>
      </c>
      <c r="AB33" s="173"/>
      <c r="AC33" s="173"/>
      <c r="AD33" s="173">
        <v>300</v>
      </c>
      <c r="AE33" s="169">
        <v>1650</v>
      </c>
      <c r="AF33" s="169">
        <v>200</v>
      </c>
      <c r="AG33" s="154"/>
      <c r="AH33" s="318" t="s">
        <v>397</v>
      </c>
      <c r="AI33" s="246" t="s">
        <v>421</v>
      </c>
      <c r="AJ33" s="326" t="s">
        <v>426</v>
      </c>
      <c r="AK33" s="327">
        <v>30000</v>
      </c>
      <c r="AL33" s="328">
        <v>2</v>
      </c>
      <c r="AM33" s="384">
        <f>AM32+500</f>
        <v>11000</v>
      </c>
      <c r="AN33" s="384">
        <v>2317500</v>
      </c>
      <c r="AO33" s="159">
        <f t="shared" si="7"/>
        <v>105.34090909090909</v>
      </c>
      <c r="AP33" s="384">
        <v>7750</v>
      </c>
      <c r="AQ33" s="380">
        <f>AN33*1.05</f>
        <v>2433375</v>
      </c>
      <c r="AR33" s="159">
        <f t="shared" si="2"/>
        <v>156.99193548387098</v>
      </c>
      <c r="AS33" s="331">
        <v>4000</v>
      </c>
      <c r="AT33" s="331">
        <v>7000</v>
      </c>
      <c r="AU33" s="331">
        <v>1000</v>
      </c>
      <c r="AV33" s="331">
        <v>1000</v>
      </c>
      <c r="AW33" s="333">
        <v>150000</v>
      </c>
      <c r="AX33" s="333">
        <v>200000</v>
      </c>
      <c r="AY33" s="154"/>
      <c r="AZ33" s="154"/>
      <c r="BA33" s="154"/>
      <c r="BB33" s="154"/>
      <c r="BC33" s="154"/>
      <c r="BD33" s="154"/>
      <c r="BE33" s="154"/>
      <c r="BF33" s="154"/>
      <c r="BG33" s="154"/>
      <c r="BH33" s="154"/>
      <c r="BI33" s="154"/>
      <c r="BT33" s="71"/>
      <c r="BU33" s="156"/>
    </row>
    <row r="34" spans="2:73" x14ac:dyDescent="0.2">
      <c r="B34" s="318" t="s">
        <v>374</v>
      </c>
      <c r="C34" s="320" t="s">
        <v>457</v>
      </c>
      <c r="D34" s="318" t="str">
        <f t="shared" si="23"/>
        <v>A321-2002C-Check</v>
      </c>
      <c r="E34" s="387">
        <v>18</v>
      </c>
      <c r="F34" s="384"/>
      <c r="G34" s="384"/>
      <c r="H34" s="384">
        <f>H33+35000</f>
        <v>241000</v>
      </c>
      <c r="I34" s="381">
        <f t="shared" si="24"/>
        <v>53.56</v>
      </c>
      <c r="J34" s="384"/>
      <c r="K34" s="382"/>
      <c r="L34" s="382"/>
      <c r="M34" s="384">
        <f>H34*1.2</f>
        <v>289200</v>
      </c>
      <c r="N34" s="383">
        <f t="shared" si="25"/>
        <v>64.27</v>
      </c>
      <c r="O34" s="384"/>
      <c r="P34" s="382"/>
      <c r="Q34" s="382"/>
      <c r="R34" s="154"/>
      <c r="S34" s="166" t="s">
        <v>378</v>
      </c>
      <c r="T34" s="166">
        <v>200</v>
      </c>
      <c r="U34" s="177" t="s">
        <v>293</v>
      </c>
      <c r="V34" s="177" t="s">
        <v>297</v>
      </c>
      <c r="W34" s="177" t="str">
        <f t="shared" si="11"/>
        <v>A320-200 Tire NLG Replace ( x 2 )</v>
      </c>
      <c r="X34" s="172">
        <v>2</v>
      </c>
      <c r="Y34" s="169"/>
      <c r="Z34" s="169"/>
      <c r="AA34" s="169">
        <v>1000</v>
      </c>
      <c r="AB34" s="173"/>
      <c r="AC34" s="173"/>
      <c r="AD34" s="173">
        <v>200</v>
      </c>
      <c r="AE34" s="169">
        <v>410</v>
      </c>
      <c r="AF34" s="169">
        <v>100</v>
      </c>
      <c r="AG34" s="154"/>
      <c r="AH34" s="321"/>
      <c r="AI34" s="177"/>
      <c r="AJ34" s="321"/>
      <c r="AK34" s="321"/>
      <c r="AL34" s="328"/>
      <c r="AM34" s="391"/>
      <c r="AN34" s="392"/>
      <c r="AO34" s="159"/>
      <c r="AP34" s="391"/>
      <c r="AQ34" s="391"/>
      <c r="AR34" s="159"/>
      <c r="AS34" s="393"/>
      <c r="AT34" s="393"/>
      <c r="AU34" s="393"/>
      <c r="AV34" s="393"/>
      <c r="AW34" s="393"/>
      <c r="AX34" s="393"/>
      <c r="AY34" s="154"/>
      <c r="AZ34" s="154"/>
      <c r="BA34" s="154"/>
      <c r="BB34" s="154"/>
      <c r="BC34" s="154"/>
      <c r="BD34" s="154"/>
      <c r="BE34" s="154"/>
      <c r="BF34" s="154"/>
      <c r="BG34" s="154"/>
      <c r="BH34" s="154"/>
      <c r="BI34" s="154"/>
    </row>
    <row r="35" spans="2:73" x14ac:dyDescent="0.2">
      <c r="B35" s="318" t="s">
        <v>374</v>
      </c>
      <c r="C35" s="320" t="s">
        <v>265</v>
      </c>
      <c r="D35" s="318" t="str">
        <f t="shared" si="23"/>
        <v>A321-200C-Check</v>
      </c>
      <c r="E35" s="387">
        <v>18</v>
      </c>
      <c r="F35" s="384"/>
      <c r="G35" s="384"/>
      <c r="H35" s="384">
        <f>AVERAGE(H33:H34)</f>
        <v>223500</v>
      </c>
      <c r="I35" s="381">
        <f t="shared" si="24"/>
        <v>49.67</v>
      </c>
      <c r="J35" s="384"/>
      <c r="K35" s="382"/>
      <c r="L35" s="382"/>
      <c r="M35" s="384">
        <f>H35*1.2</f>
        <v>268200</v>
      </c>
      <c r="N35" s="383">
        <f t="shared" si="25"/>
        <v>59.6</v>
      </c>
      <c r="O35" s="384"/>
      <c r="P35" s="382"/>
      <c r="Q35" s="382"/>
      <c r="R35" s="154"/>
      <c r="S35" s="166" t="s">
        <v>378</v>
      </c>
      <c r="T35" s="166">
        <v>200</v>
      </c>
      <c r="U35" s="177" t="s">
        <v>294</v>
      </c>
      <c r="V35" s="177" t="s">
        <v>300</v>
      </c>
      <c r="W35" s="177" t="str">
        <f t="shared" si="11"/>
        <v>A320-200 Brake Steel Overhaul ( x 4 )</v>
      </c>
      <c r="X35" s="172">
        <v>4</v>
      </c>
      <c r="Y35" s="169"/>
      <c r="Z35" s="169"/>
      <c r="AA35" s="169">
        <v>1400</v>
      </c>
      <c r="AB35" s="173"/>
      <c r="AC35" s="173"/>
      <c r="AD35" s="173">
        <v>300</v>
      </c>
      <c r="AE35" s="169">
        <v>7210</v>
      </c>
      <c r="AF35" s="169">
        <v>1000</v>
      </c>
      <c r="AG35" s="154"/>
      <c r="AH35" s="318" t="s">
        <v>398</v>
      </c>
      <c r="AI35" s="246" t="s">
        <v>422</v>
      </c>
      <c r="AJ35" s="326" t="s">
        <v>426</v>
      </c>
      <c r="AK35" s="327">
        <v>31000</v>
      </c>
      <c r="AL35" s="328">
        <v>2</v>
      </c>
      <c r="AM35" s="384">
        <v>9750</v>
      </c>
      <c r="AN35" s="384">
        <v>2369000</v>
      </c>
      <c r="AO35" s="159">
        <f t="shared" si="7"/>
        <v>121.48717948717949</v>
      </c>
      <c r="AP35" s="384">
        <v>7000</v>
      </c>
      <c r="AQ35" s="380">
        <f>AN35*1.05</f>
        <v>2487450</v>
      </c>
      <c r="AR35" s="159">
        <f t="shared" si="2"/>
        <v>177.67500000000001</v>
      </c>
      <c r="AS35" s="331">
        <v>4000</v>
      </c>
      <c r="AT35" s="331">
        <v>6500</v>
      </c>
      <c r="AU35" s="331">
        <v>1000</v>
      </c>
      <c r="AV35" s="331">
        <v>1000</v>
      </c>
      <c r="AW35" s="333">
        <v>150000</v>
      </c>
      <c r="AX35" s="333">
        <v>200000</v>
      </c>
      <c r="AY35" s="154"/>
      <c r="AZ35" s="154"/>
      <c r="BA35" s="154"/>
      <c r="BB35" s="154"/>
      <c r="BC35" s="154"/>
      <c r="BD35" s="154"/>
      <c r="BE35" s="154"/>
      <c r="BF35" s="154"/>
      <c r="BG35" s="154"/>
      <c r="BH35" s="154"/>
      <c r="BI35" s="154"/>
    </row>
    <row r="36" spans="2:73" x14ac:dyDescent="0.2">
      <c r="B36" s="318" t="s">
        <v>374</v>
      </c>
      <c r="C36" s="318" t="s">
        <v>470</v>
      </c>
      <c r="D36" s="318" t="str">
        <f t="shared" si="23"/>
        <v>A321-2004C+6Y SI</v>
      </c>
      <c r="E36" s="387">
        <v>72</v>
      </c>
      <c r="F36" s="384"/>
      <c r="G36" s="384"/>
      <c r="H36" s="384">
        <v>848720</v>
      </c>
      <c r="I36" s="381">
        <f t="shared" si="24"/>
        <v>47.15</v>
      </c>
      <c r="J36" s="384">
        <v>30000</v>
      </c>
      <c r="K36" s="382">
        <f t="shared" ref="K36:K45" si="26">IF(OR(H36="",J36=""),"",H36-J36)</f>
        <v>818720</v>
      </c>
      <c r="L36" s="382">
        <f t="shared" ref="L36:L45" si="27">IF(OR(H36="",J36=""),"",H36+J36)</f>
        <v>878720</v>
      </c>
      <c r="M36" s="384">
        <f>H36*1.15</f>
        <v>976027.99999999988</v>
      </c>
      <c r="N36" s="383">
        <f t="shared" si="25"/>
        <v>54.22</v>
      </c>
      <c r="O36" s="384">
        <v>60000</v>
      </c>
      <c r="P36" s="382">
        <f t="shared" ref="P36:P43" si="28">IF(OR(M36="",O36=""),"",M36-O36)</f>
        <v>916027.99999999988</v>
      </c>
      <c r="Q36" s="382">
        <f t="shared" ref="Q36:Q43" si="29">IF(OR(M36="",O36=""),"",M36+O36)</f>
        <v>1036027.9999999999</v>
      </c>
      <c r="R36" s="154"/>
      <c r="S36" s="166" t="s">
        <v>378</v>
      </c>
      <c r="T36" s="166">
        <v>200</v>
      </c>
      <c r="U36" s="177" t="s">
        <v>295</v>
      </c>
      <c r="V36" s="177" t="s">
        <v>300</v>
      </c>
      <c r="W36" s="177" t="str">
        <f t="shared" si="11"/>
        <v>A320-200 Brake Carbon Overhaul ( x 4 )</v>
      </c>
      <c r="X36" s="172">
        <v>4</v>
      </c>
      <c r="Y36" s="169"/>
      <c r="Z36" s="169"/>
      <c r="AA36" s="169">
        <v>2800</v>
      </c>
      <c r="AB36" s="173"/>
      <c r="AC36" s="173"/>
      <c r="AD36" s="173">
        <v>500</v>
      </c>
      <c r="AE36" s="169">
        <v>22660</v>
      </c>
      <c r="AF36" s="169">
        <v>2000</v>
      </c>
      <c r="AG36" s="154"/>
      <c r="AH36" s="318" t="s">
        <v>399</v>
      </c>
      <c r="AI36" s="246" t="s">
        <v>423</v>
      </c>
      <c r="AJ36" s="326" t="s">
        <v>426</v>
      </c>
      <c r="AK36" s="327">
        <v>31000</v>
      </c>
      <c r="AL36" s="328">
        <v>2</v>
      </c>
      <c r="AM36" s="384">
        <f>AM35+500</f>
        <v>10250</v>
      </c>
      <c r="AN36" s="384">
        <v>2369000</v>
      </c>
      <c r="AO36" s="159">
        <f t="shared" si="7"/>
        <v>115.5609756097561</v>
      </c>
      <c r="AP36" s="384">
        <v>7250</v>
      </c>
      <c r="AQ36" s="380">
        <f>AN36*1.05</f>
        <v>2487450</v>
      </c>
      <c r="AR36" s="159">
        <f t="shared" si="2"/>
        <v>171.54827586206898</v>
      </c>
      <c r="AS36" s="331">
        <v>4000</v>
      </c>
      <c r="AT36" s="331">
        <v>6500</v>
      </c>
      <c r="AU36" s="331">
        <v>1000</v>
      </c>
      <c r="AV36" s="331">
        <v>1000</v>
      </c>
      <c r="AW36" s="333">
        <v>150000</v>
      </c>
      <c r="AX36" s="333">
        <v>200000</v>
      </c>
      <c r="AY36" s="154"/>
      <c r="AZ36" s="154"/>
      <c r="BA36" s="154"/>
      <c r="BB36" s="154"/>
      <c r="BC36" s="154"/>
      <c r="BD36" s="154"/>
      <c r="BE36" s="154"/>
      <c r="BF36" s="154"/>
      <c r="BG36" s="154"/>
      <c r="BH36" s="154"/>
      <c r="BI36" s="154"/>
    </row>
    <row r="37" spans="2:73" x14ac:dyDescent="0.2">
      <c r="B37" s="318" t="s">
        <v>374</v>
      </c>
      <c r="C37" s="318" t="s">
        <v>471</v>
      </c>
      <c r="D37" s="318" t="str">
        <f t="shared" si="23"/>
        <v>A321-2008C+12Y SI</v>
      </c>
      <c r="E37" s="387">
        <v>144</v>
      </c>
      <c r="F37" s="384"/>
      <c r="G37" s="384"/>
      <c r="H37" s="384">
        <v>922880</v>
      </c>
      <c r="I37" s="381">
        <f t="shared" si="24"/>
        <v>25.64</v>
      </c>
      <c r="J37" s="384">
        <v>30000</v>
      </c>
      <c r="K37" s="382">
        <f t="shared" si="26"/>
        <v>892880</v>
      </c>
      <c r="L37" s="382">
        <f t="shared" si="27"/>
        <v>952880</v>
      </c>
      <c r="M37" s="384">
        <f>H37*1.15</f>
        <v>1061312</v>
      </c>
      <c r="N37" s="383">
        <f t="shared" si="25"/>
        <v>29.48</v>
      </c>
      <c r="O37" s="384">
        <v>60000</v>
      </c>
      <c r="P37" s="382">
        <f t="shared" si="28"/>
        <v>1001312</v>
      </c>
      <c r="Q37" s="382">
        <f t="shared" si="29"/>
        <v>1121312</v>
      </c>
      <c r="R37" s="154"/>
      <c r="S37" s="166"/>
      <c r="T37" s="166"/>
      <c r="U37" s="177"/>
      <c r="V37" s="177"/>
      <c r="W37" s="177"/>
      <c r="X37" s="172"/>
      <c r="Y37" s="169"/>
      <c r="Z37" s="169"/>
      <c r="AA37" s="169"/>
      <c r="AB37" s="173"/>
      <c r="AC37" s="173"/>
      <c r="AD37" s="173"/>
      <c r="AE37" s="178"/>
      <c r="AF37" s="169"/>
      <c r="AG37" s="154"/>
      <c r="AH37" s="321"/>
      <c r="AI37" s="177"/>
      <c r="AJ37" s="321"/>
      <c r="AK37" s="321"/>
      <c r="AL37" s="328"/>
      <c r="AM37" s="391"/>
      <c r="AN37" s="395"/>
      <c r="AO37" s="159"/>
      <c r="AP37" s="391"/>
      <c r="AQ37" s="391"/>
      <c r="AR37" s="159"/>
      <c r="AS37" s="393"/>
      <c r="AT37" s="393"/>
      <c r="AU37" s="393"/>
      <c r="AV37" s="393"/>
      <c r="AW37" s="393"/>
      <c r="AX37" s="393"/>
      <c r="AY37" s="154"/>
      <c r="AZ37" s="154"/>
      <c r="BA37" s="154"/>
      <c r="BB37" s="154"/>
      <c r="BC37" s="154"/>
      <c r="BD37" s="154"/>
      <c r="BE37" s="154"/>
      <c r="BF37" s="154"/>
      <c r="BG37" s="154"/>
      <c r="BH37" s="154"/>
      <c r="BI37" s="154"/>
    </row>
    <row r="38" spans="2:73" x14ac:dyDescent="0.2">
      <c r="B38" s="318" t="s">
        <v>374</v>
      </c>
      <c r="C38" s="318" t="s">
        <v>455</v>
      </c>
      <c r="D38" s="318" t="str">
        <f t="shared" si="23"/>
        <v>A321-2006Y SI</v>
      </c>
      <c r="E38" s="387">
        <v>72</v>
      </c>
      <c r="F38" s="384"/>
      <c r="G38" s="384"/>
      <c r="H38" s="384">
        <f>H36-H34</f>
        <v>607720</v>
      </c>
      <c r="I38" s="381">
        <f t="shared" si="24"/>
        <v>33.76</v>
      </c>
      <c r="J38" s="384">
        <v>30000</v>
      </c>
      <c r="K38" s="382">
        <f t="shared" si="26"/>
        <v>577720</v>
      </c>
      <c r="L38" s="382">
        <f t="shared" si="27"/>
        <v>637720</v>
      </c>
      <c r="M38" s="384">
        <f>M36-M34</f>
        <v>686827.99999999988</v>
      </c>
      <c r="N38" s="383">
        <f t="shared" si="25"/>
        <v>38.159999999999997</v>
      </c>
      <c r="O38" s="384">
        <v>60000</v>
      </c>
      <c r="P38" s="382">
        <f t="shared" si="28"/>
        <v>626827.99999999988</v>
      </c>
      <c r="Q38" s="382">
        <f t="shared" si="29"/>
        <v>746827.99999999988</v>
      </c>
      <c r="R38" s="154"/>
      <c r="S38" s="166" t="s">
        <v>379</v>
      </c>
      <c r="T38" s="166">
        <v>200</v>
      </c>
      <c r="U38" s="177" t="s">
        <v>290</v>
      </c>
      <c r="V38" s="177" t="s">
        <v>296</v>
      </c>
      <c r="W38" s="177" t="str">
        <f t="shared" si="11"/>
        <v>A321-200 Wheel MLG Replace ( x 4 )</v>
      </c>
      <c r="X38" s="172">
        <v>4</v>
      </c>
      <c r="Y38" s="169"/>
      <c r="Z38" s="169"/>
      <c r="AA38" s="169">
        <v>300</v>
      </c>
      <c r="AB38" s="173"/>
      <c r="AC38" s="173"/>
      <c r="AD38" s="173">
        <v>50</v>
      </c>
      <c r="AE38" s="169">
        <v>1850</v>
      </c>
      <c r="AF38" s="169">
        <v>250</v>
      </c>
      <c r="AG38" s="154"/>
      <c r="AH38" s="318" t="s">
        <v>400</v>
      </c>
      <c r="AI38" s="246" t="s">
        <v>424</v>
      </c>
      <c r="AJ38" s="326" t="s">
        <v>426</v>
      </c>
      <c r="AK38" s="327">
        <v>33000</v>
      </c>
      <c r="AL38" s="328">
        <v>2</v>
      </c>
      <c r="AM38" s="384">
        <v>8000</v>
      </c>
      <c r="AN38" s="384">
        <v>2320500</v>
      </c>
      <c r="AO38" s="159">
        <f t="shared" si="7"/>
        <v>145.03125</v>
      </c>
      <c r="AP38" s="384">
        <v>6000</v>
      </c>
      <c r="AQ38" s="380">
        <f>AN38*1.05</f>
        <v>2436525</v>
      </c>
      <c r="AR38" s="159">
        <f t="shared" si="2"/>
        <v>203.04374999999999</v>
      </c>
      <c r="AS38" s="331">
        <v>4000</v>
      </c>
      <c r="AT38" s="331">
        <v>6500</v>
      </c>
      <c r="AU38" s="331">
        <v>1000</v>
      </c>
      <c r="AV38" s="331">
        <v>1000</v>
      </c>
      <c r="AW38" s="333">
        <v>150000</v>
      </c>
      <c r="AX38" s="333">
        <v>200000</v>
      </c>
      <c r="AY38" s="154"/>
      <c r="AZ38" s="154"/>
      <c r="BA38" s="154"/>
      <c r="BB38" s="154"/>
      <c r="BC38" s="154"/>
      <c r="BD38" s="154"/>
      <c r="BE38" s="154"/>
      <c r="BF38" s="154"/>
      <c r="BG38" s="154"/>
      <c r="BH38" s="154"/>
      <c r="BI38" s="154"/>
    </row>
    <row r="39" spans="2:73" x14ac:dyDescent="0.2">
      <c r="B39" s="318" t="s">
        <v>374</v>
      </c>
      <c r="C39" s="318" t="s">
        <v>240</v>
      </c>
      <c r="D39" s="318" t="str">
        <f t="shared" si="23"/>
        <v>A321-20012Y SI</v>
      </c>
      <c r="E39" s="387">
        <v>144</v>
      </c>
      <c r="F39" s="384"/>
      <c r="G39" s="384"/>
      <c r="H39" s="384">
        <f>H37</f>
        <v>922880</v>
      </c>
      <c r="I39" s="381">
        <f t="shared" si="24"/>
        <v>25.64</v>
      </c>
      <c r="J39" s="384">
        <v>30000</v>
      </c>
      <c r="K39" s="382">
        <f t="shared" si="26"/>
        <v>892880</v>
      </c>
      <c r="L39" s="382">
        <f t="shared" si="27"/>
        <v>952880</v>
      </c>
      <c r="M39" s="384">
        <f>M37</f>
        <v>1061312</v>
      </c>
      <c r="N39" s="383">
        <f t="shared" si="25"/>
        <v>29.48</v>
      </c>
      <c r="O39" s="384">
        <v>60000</v>
      </c>
      <c r="P39" s="382">
        <f t="shared" si="28"/>
        <v>1001312</v>
      </c>
      <c r="Q39" s="382">
        <f t="shared" si="29"/>
        <v>1121312</v>
      </c>
      <c r="R39" s="154"/>
      <c r="S39" s="166" t="s">
        <v>379</v>
      </c>
      <c r="T39" s="166">
        <v>200</v>
      </c>
      <c r="U39" s="177" t="s">
        <v>291</v>
      </c>
      <c r="V39" s="177" t="s">
        <v>297</v>
      </c>
      <c r="W39" s="177" t="str">
        <f t="shared" si="11"/>
        <v>A321-200 Wheel NLG Replace ( x 2 )</v>
      </c>
      <c r="X39" s="172">
        <v>2</v>
      </c>
      <c r="Y39" s="169"/>
      <c r="Z39" s="169"/>
      <c r="AA39" s="169">
        <v>200</v>
      </c>
      <c r="AB39" s="173"/>
      <c r="AC39" s="173"/>
      <c r="AD39" s="173">
        <v>50</v>
      </c>
      <c r="AE39" s="169">
        <v>520</v>
      </c>
      <c r="AF39" s="169">
        <v>100</v>
      </c>
      <c r="AG39" s="154"/>
      <c r="AH39" s="318" t="s">
        <v>401</v>
      </c>
      <c r="AI39" s="246" t="s">
        <v>425</v>
      </c>
      <c r="AJ39" s="326" t="s">
        <v>426</v>
      </c>
      <c r="AK39" s="327">
        <v>33000</v>
      </c>
      <c r="AL39" s="328">
        <v>2</v>
      </c>
      <c r="AM39" s="384">
        <f>AM38+500</f>
        <v>8500</v>
      </c>
      <c r="AN39" s="384">
        <v>2320500</v>
      </c>
      <c r="AO39" s="159">
        <f t="shared" si="7"/>
        <v>136.5</v>
      </c>
      <c r="AP39" s="384">
        <v>6250</v>
      </c>
      <c r="AQ39" s="380">
        <f>AN39*1.05</f>
        <v>2436525</v>
      </c>
      <c r="AR39" s="159">
        <f t="shared" si="2"/>
        <v>194.922</v>
      </c>
      <c r="AS39" s="331">
        <v>4000</v>
      </c>
      <c r="AT39" s="331">
        <v>6500</v>
      </c>
      <c r="AU39" s="331">
        <v>1000</v>
      </c>
      <c r="AV39" s="331">
        <v>1000</v>
      </c>
      <c r="AW39" s="333">
        <v>150000</v>
      </c>
      <c r="AX39" s="333">
        <v>200000</v>
      </c>
      <c r="AY39" s="154"/>
      <c r="AZ39" s="154"/>
      <c r="BA39" s="154"/>
      <c r="BB39" s="154"/>
      <c r="BC39" s="154"/>
      <c r="BD39" s="154"/>
      <c r="BE39" s="154"/>
      <c r="BF39" s="154"/>
      <c r="BG39" s="154"/>
      <c r="BH39" s="154"/>
      <c r="BI39" s="154"/>
    </row>
    <row r="40" spans="2:73" x14ac:dyDescent="0.2">
      <c r="B40" s="177"/>
      <c r="C40" s="173"/>
      <c r="D40" s="166" t="str">
        <f t="shared" si="23"/>
        <v/>
      </c>
      <c r="E40" s="226"/>
      <c r="F40" s="169"/>
      <c r="G40" s="169"/>
      <c r="H40" s="169"/>
      <c r="I40" s="170" t="str">
        <f>IF(OR(E40="",H40=""),"",ROUND((H40/E40)/(3000/12),1))</f>
        <v/>
      </c>
      <c r="J40" s="169"/>
      <c r="K40" s="160" t="str">
        <f t="shared" si="26"/>
        <v/>
      </c>
      <c r="L40" s="160" t="str">
        <f t="shared" si="27"/>
        <v/>
      </c>
      <c r="M40" s="179"/>
      <c r="N40" s="159" t="str">
        <f>IF(OR(E40="",M40=""),"",ROUND((M40/E40)/(3000/12),1))</f>
        <v/>
      </c>
      <c r="O40" s="169"/>
      <c r="P40" s="160" t="str">
        <f t="shared" si="28"/>
        <v/>
      </c>
      <c r="Q40" s="160" t="str">
        <f t="shared" si="29"/>
        <v/>
      </c>
      <c r="R40" s="154"/>
      <c r="S40" s="166" t="s">
        <v>379</v>
      </c>
      <c r="T40" s="166">
        <v>200</v>
      </c>
      <c r="U40" s="177" t="s">
        <v>292</v>
      </c>
      <c r="V40" s="177" t="s">
        <v>298</v>
      </c>
      <c r="W40" s="177" t="str">
        <f t="shared" si="11"/>
        <v>A321-200 Tire MLG Retread ( x 4 )</v>
      </c>
      <c r="X40" s="172">
        <v>4</v>
      </c>
      <c r="Y40" s="169"/>
      <c r="Z40" s="169"/>
      <c r="AA40" s="169">
        <v>300</v>
      </c>
      <c r="AB40" s="173"/>
      <c r="AC40" s="173"/>
      <c r="AD40" s="173">
        <v>50</v>
      </c>
      <c r="AE40" s="169">
        <v>620</v>
      </c>
      <c r="AF40" s="169">
        <v>100</v>
      </c>
      <c r="AG40" s="154"/>
      <c r="AH40" s="318"/>
      <c r="AI40" s="166"/>
      <c r="AJ40" s="326"/>
      <c r="AK40" s="327"/>
      <c r="AL40" s="328"/>
      <c r="AM40" s="384"/>
      <c r="AN40" s="394"/>
      <c r="AO40" s="159"/>
      <c r="AP40" s="384"/>
      <c r="AQ40" s="380"/>
      <c r="AR40" s="159"/>
      <c r="AS40" s="331"/>
      <c r="AT40" s="331"/>
      <c r="AU40" s="331"/>
      <c r="AV40" s="331"/>
      <c r="AW40" s="333"/>
      <c r="AX40" s="333"/>
      <c r="AY40" s="154"/>
      <c r="AZ40" s="154"/>
      <c r="BA40" s="154"/>
      <c r="BB40" s="154"/>
      <c r="BC40" s="154"/>
      <c r="BD40" s="154"/>
      <c r="BE40" s="154"/>
      <c r="BF40" s="154"/>
      <c r="BG40" s="154"/>
      <c r="BH40" s="154"/>
      <c r="BI40" s="154"/>
    </row>
    <row r="41" spans="2:73" x14ac:dyDescent="0.2">
      <c r="B41" s="177"/>
      <c r="C41" s="173"/>
      <c r="D41" s="166" t="str">
        <f t="shared" si="23"/>
        <v/>
      </c>
      <c r="E41" s="226"/>
      <c r="F41" s="169"/>
      <c r="G41" s="169"/>
      <c r="H41" s="169"/>
      <c r="I41" s="170" t="str">
        <f>IF(OR(E41="",H41=""),"",ROUND((H41/E41)/(3000/12),1))</f>
        <v/>
      </c>
      <c r="J41" s="169"/>
      <c r="K41" s="160" t="str">
        <f t="shared" si="26"/>
        <v/>
      </c>
      <c r="L41" s="160" t="str">
        <f t="shared" si="27"/>
        <v/>
      </c>
      <c r="M41" s="179"/>
      <c r="N41" s="159" t="str">
        <f>IF(OR(E41="",M41=""),"",ROUND((M41/E41)/(3000/12),1))</f>
        <v/>
      </c>
      <c r="O41" s="169"/>
      <c r="P41" s="160" t="str">
        <f t="shared" si="28"/>
        <v/>
      </c>
      <c r="Q41" s="160" t="str">
        <f t="shared" si="29"/>
        <v/>
      </c>
      <c r="R41" s="154"/>
      <c r="S41" s="166" t="s">
        <v>379</v>
      </c>
      <c r="T41" s="166">
        <v>200</v>
      </c>
      <c r="U41" s="177" t="s">
        <v>293</v>
      </c>
      <c r="V41" s="177" t="s">
        <v>299</v>
      </c>
      <c r="W41" s="177" t="str">
        <f t="shared" si="11"/>
        <v>A321-200 Tire NLG Retread ( x 2 )</v>
      </c>
      <c r="X41" s="172">
        <v>2</v>
      </c>
      <c r="Y41" s="169"/>
      <c r="Z41" s="169"/>
      <c r="AA41" s="169">
        <v>200</v>
      </c>
      <c r="AB41" s="173"/>
      <c r="AC41" s="173"/>
      <c r="AD41" s="173">
        <v>50</v>
      </c>
      <c r="AE41" s="169">
        <v>310</v>
      </c>
      <c r="AF41" s="169">
        <v>100</v>
      </c>
      <c r="AG41" s="154"/>
      <c r="AH41" s="318" t="s">
        <v>402</v>
      </c>
      <c r="AI41" s="246">
        <v>2527</v>
      </c>
      <c r="AJ41" s="326" t="s">
        <v>427</v>
      </c>
      <c r="AK41" s="327">
        <v>27000</v>
      </c>
      <c r="AL41" s="328">
        <v>2</v>
      </c>
      <c r="AM41" s="384">
        <v>11000</v>
      </c>
      <c r="AN41" s="384">
        <v>2250000</v>
      </c>
      <c r="AO41" s="159">
        <f t="shared" si="7"/>
        <v>102.27272727272727</v>
      </c>
      <c r="AP41" s="384">
        <v>8500</v>
      </c>
      <c r="AQ41" s="380">
        <f>AN41*1.1</f>
        <v>2475000</v>
      </c>
      <c r="AR41" s="159">
        <f t="shared" si="2"/>
        <v>145.58823529411765</v>
      </c>
      <c r="AS41" s="331">
        <v>5000</v>
      </c>
      <c r="AT41" s="331">
        <v>9000</v>
      </c>
      <c r="AU41" s="331">
        <v>1000</v>
      </c>
      <c r="AV41" s="331">
        <v>1000</v>
      </c>
      <c r="AW41" s="333">
        <v>150000</v>
      </c>
      <c r="AX41" s="333">
        <v>200000</v>
      </c>
      <c r="AY41" s="154"/>
      <c r="AZ41" s="154"/>
      <c r="BA41" s="154"/>
      <c r="BB41" s="154"/>
      <c r="BC41" s="154"/>
      <c r="BD41" s="154"/>
      <c r="BE41" s="154"/>
      <c r="BF41" s="154"/>
      <c r="BG41" s="154"/>
      <c r="BH41" s="154"/>
      <c r="BI41" s="154"/>
    </row>
    <row r="42" spans="2:73" x14ac:dyDescent="0.2">
      <c r="B42" s="177"/>
      <c r="C42" s="173"/>
      <c r="D42" s="166" t="str">
        <f t="shared" si="23"/>
        <v/>
      </c>
      <c r="E42" s="226"/>
      <c r="F42" s="169"/>
      <c r="G42" s="169"/>
      <c r="H42" s="169"/>
      <c r="I42" s="170" t="str">
        <f>IF(OR(E42="",H42=""),"",ROUND((H42/E42)/(3000/12),1))</f>
        <v/>
      </c>
      <c r="J42" s="169"/>
      <c r="K42" s="160" t="str">
        <f t="shared" si="26"/>
        <v/>
      </c>
      <c r="L42" s="160" t="str">
        <f t="shared" si="27"/>
        <v/>
      </c>
      <c r="M42" s="179"/>
      <c r="N42" s="159" t="str">
        <f>IF(OR(E42="",M42=""),"",ROUND((M42/E42)/(3000/12),1))</f>
        <v/>
      </c>
      <c r="O42" s="169"/>
      <c r="P42" s="160" t="str">
        <f t="shared" si="28"/>
        <v/>
      </c>
      <c r="Q42" s="160" t="str">
        <f t="shared" si="29"/>
        <v/>
      </c>
      <c r="R42" s="154"/>
      <c r="S42" s="166" t="s">
        <v>379</v>
      </c>
      <c r="T42" s="166">
        <v>200</v>
      </c>
      <c r="U42" s="177" t="s">
        <v>292</v>
      </c>
      <c r="V42" s="177" t="s">
        <v>296</v>
      </c>
      <c r="W42" s="177" t="str">
        <f t="shared" si="11"/>
        <v>A321-200 Tire MLG Replace ( x 4 )</v>
      </c>
      <c r="X42" s="172">
        <v>4</v>
      </c>
      <c r="Y42" s="169"/>
      <c r="Z42" s="169"/>
      <c r="AA42" s="169">
        <v>1400</v>
      </c>
      <c r="AB42" s="173"/>
      <c r="AC42" s="173"/>
      <c r="AD42" s="173">
        <v>300</v>
      </c>
      <c r="AE42" s="169">
        <v>1650</v>
      </c>
      <c r="AF42" s="169">
        <v>200</v>
      </c>
      <c r="AG42" s="154"/>
      <c r="AH42" s="318" t="s">
        <v>403</v>
      </c>
      <c r="AI42" s="246" t="s">
        <v>474</v>
      </c>
      <c r="AJ42" s="326" t="s">
        <v>427</v>
      </c>
      <c r="AK42" s="327">
        <v>27000</v>
      </c>
      <c r="AL42" s="328">
        <v>2</v>
      </c>
      <c r="AM42" s="384">
        <f>AM41+500</f>
        <v>11500</v>
      </c>
      <c r="AN42" s="384">
        <v>2250000</v>
      </c>
      <c r="AO42" s="159">
        <f t="shared" si="7"/>
        <v>97.826086956521735</v>
      </c>
      <c r="AP42" s="384">
        <v>8750</v>
      </c>
      <c r="AQ42" s="380">
        <f>AN42*1.1</f>
        <v>2475000</v>
      </c>
      <c r="AR42" s="159">
        <f t="shared" si="2"/>
        <v>141.42857142857142</v>
      </c>
      <c r="AS42" s="331">
        <v>5000</v>
      </c>
      <c r="AT42" s="331">
        <v>9000</v>
      </c>
      <c r="AU42" s="331">
        <v>1000</v>
      </c>
      <c r="AV42" s="331">
        <v>1000</v>
      </c>
      <c r="AW42" s="333">
        <v>150000</v>
      </c>
      <c r="AX42" s="333">
        <v>200000</v>
      </c>
      <c r="AY42" s="154"/>
      <c r="AZ42" s="154"/>
      <c r="BA42" s="154"/>
      <c r="BB42" s="154"/>
      <c r="BC42" s="154"/>
      <c r="BD42" s="154"/>
      <c r="BE42" s="154"/>
      <c r="BF42" s="154"/>
      <c r="BG42" s="154"/>
      <c r="BH42" s="154"/>
      <c r="BI42" s="154"/>
    </row>
    <row r="43" spans="2:73" x14ac:dyDescent="0.2">
      <c r="B43" s="177"/>
      <c r="C43" s="173"/>
      <c r="D43" s="166" t="str">
        <f t="shared" si="23"/>
        <v/>
      </c>
      <c r="E43" s="226"/>
      <c r="F43" s="169"/>
      <c r="G43" s="169"/>
      <c r="H43" s="169"/>
      <c r="I43" s="170" t="str">
        <f>IF(OR(E43="",H43=""),"",ROUND((H43/E43)/(3000/12),1))</f>
        <v/>
      </c>
      <c r="J43" s="169"/>
      <c r="K43" s="160" t="str">
        <f t="shared" si="26"/>
        <v/>
      </c>
      <c r="L43" s="160" t="str">
        <f t="shared" si="27"/>
        <v/>
      </c>
      <c r="M43" s="179"/>
      <c r="N43" s="159" t="str">
        <f>IF(OR(E43="",M43=""),"",ROUND((M43/E43)/(3000/12),1))</f>
        <v/>
      </c>
      <c r="O43" s="169"/>
      <c r="P43" s="160" t="str">
        <f t="shared" si="28"/>
        <v/>
      </c>
      <c r="Q43" s="160" t="str">
        <f t="shared" si="29"/>
        <v/>
      </c>
      <c r="R43" s="154"/>
      <c r="S43" s="166" t="s">
        <v>379</v>
      </c>
      <c r="T43" s="166">
        <v>200</v>
      </c>
      <c r="U43" s="177" t="s">
        <v>293</v>
      </c>
      <c r="V43" s="177" t="s">
        <v>297</v>
      </c>
      <c r="W43" s="177" t="str">
        <f t="shared" si="11"/>
        <v>A321-200 Tire NLG Replace ( x 2 )</v>
      </c>
      <c r="X43" s="172">
        <v>2</v>
      </c>
      <c r="Y43" s="169"/>
      <c r="Z43" s="169"/>
      <c r="AA43" s="169">
        <v>1000</v>
      </c>
      <c r="AB43" s="173"/>
      <c r="AC43" s="173"/>
      <c r="AD43" s="173">
        <v>200</v>
      </c>
      <c r="AE43" s="169">
        <v>410</v>
      </c>
      <c r="AF43" s="169">
        <v>100</v>
      </c>
      <c r="AG43" s="154"/>
      <c r="AH43" s="321"/>
      <c r="AI43" s="177"/>
      <c r="AJ43" s="321"/>
      <c r="AK43" s="321"/>
      <c r="AL43" s="328"/>
      <c r="AM43" s="391"/>
      <c r="AN43" s="395"/>
      <c r="AO43" s="159"/>
      <c r="AP43" s="391"/>
      <c r="AQ43" s="391"/>
      <c r="AR43" s="159"/>
      <c r="AS43" s="393"/>
      <c r="AT43" s="393"/>
      <c r="AU43" s="393"/>
      <c r="AV43" s="393"/>
      <c r="AW43" s="393"/>
      <c r="AX43" s="393"/>
      <c r="AY43" s="154"/>
      <c r="AZ43" s="154"/>
      <c r="BA43" s="154"/>
      <c r="BB43" s="154"/>
      <c r="BC43" s="154"/>
      <c r="BD43" s="154"/>
      <c r="BE43" s="154"/>
      <c r="BF43" s="154"/>
      <c r="BG43" s="154"/>
      <c r="BH43" s="154"/>
      <c r="BI43" s="154"/>
    </row>
    <row r="44" spans="2:73" x14ac:dyDescent="0.2">
      <c r="B44" s="177"/>
      <c r="C44" s="173"/>
      <c r="D44" s="166" t="str">
        <f t="shared" si="23"/>
        <v/>
      </c>
      <c r="E44" s="226"/>
      <c r="F44" s="169"/>
      <c r="G44" s="169"/>
      <c r="H44" s="169"/>
      <c r="I44" s="170" t="str">
        <f t="shared" ref="I44:I45" si="30">IF(OR(E44="",H44=""),"",ROUND((H44/E44)/(3000/12),1))</f>
        <v/>
      </c>
      <c r="J44" s="169"/>
      <c r="K44" s="160" t="str">
        <f t="shared" si="26"/>
        <v/>
      </c>
      <c r="L44" s="160" t="str">
        <f t="shared" si="27"/>
        <v/>
      </c>
      <c r="M44" s="179"/>
      <c r="R44" s="154"/>
      <c r="S44" s="166" t="s">
        <v>379</v>
      </c>
      <c r="T44" s="166">
        <v>200</v>
      </c>
      <c r="U44" s="177" t="s">
        <v>294</v>
      </c>
      <c r="V44" s="177" t="s">
        <v>300</v>
      </c>
      <c r="W44" s="177" t="str">
        <f t="shared" si="11"/>
        <v>A321-200 Brake Steel Overhaul ( x 4 )</v>
      </c>
      <c r="X44" s="172">
        <v>4</v>
      </c>
      <c r="Y44" s="169"/>
      <c r="Z44" s="169"/>
      <c r="AA44" s="169">
        <v>1400</v>
      </c>
      <c r="AB44" s="173"/>
      <c r="AC44" s="173"/>
      <c r="AD44" s="173">
        <v>300</v>
      </c>
      <c r="AE44" s="169">
        <v>7210</v>
      </c>
      <c r="AF44" s="169">
        <v>1000</v>
      </c>
      <c r="AG44" s="154"/>
      <c r="AH44" s="318" t="s">
        <v>404</v>
      </c>
      <c r="AI44" s="246">
        <v>2530</v>
      </c>
      <c r="AJ44" s="326" t="s">
        <v>427</v>
      </c>
      <c r="AK44" s="327">
        <v>30000</v>
      </c>
      <c r="AL44" s="328">
        <v>2</v>
      </c>
      <c r="AM44" s="384">
        <v>7500</v>
      </c>
      <c r="AN44" s="384">
        <v>2250000</v>
      </c>
      <c r="AO44" s="159">
        <f t="shared" si="7"/>
        <v>150</v>
      </c>
      <c r="AP44" s="384">
        <v>6750</v>
      </c>
      <c r="AQ44" s="380">
        <f>AN44*1.1</f>
        <v>2475000</v>
      </c>
      <c r="AR44" s="159">
        <f t="shared" si="2"/>
        <v>183.33333333333334</v>
      </c>
      <c r="AS44" s="331">
        <v>4000</v>
      </c>
      <c r="AT44" s="331">
        <v>8000</v>
      </c>
      <c r="AU44" s="331">
        <v>1000</v>
      </c>
      <c r="AV44" s="331">
        <v>1000</v>
      </c>
      <c r="AW44" s="333">
        <v>150000</v>
      </c>
      <c r="AX44" s="333">
        <v>200000</v>
      </c>
      <c r="AY44" s="154"/>
      <c r="AZ44" s="154"/>
      <c r="BA44" s="154"/>
      <c r="BB44" s="154"/>
      <c r="BC44" s="154"/>
      <c r="BD44" s="154"/>
      <c r="BE44" s="154"/>
      <c r="BF44" s="154"/>
      <c r="BG44" s="154"/>
      <c r="BH44" s="154"/>
      <c r="BI44" s="154"/>
    </row>
    <row r="45" spans="2:73" x14ac:dyDescent="0.2">
      <c r="B45" s="177"/>
      <c r="C45" s="173"/>
      <c r="D45" s="166" t="str">
        <f t="shared" si="23"/>
        <v/>
      </c>
      <c r="E45" s="226"/>
      <c r="F45" s="169"/>
      <c r="G45" s="169"/>
      <c r="H45" s="169"/>
      <c r="I45" s="170" t="str">
        <f t="shared" si="30"/>
        <v/>
      </c>
      <c r="J45" s="169"/>
      <c r="K45" s="160" t="str">
        <f t="shared" si="26"/>
        <v/>
      </c>
      <c r="L45" s="160" t="str">
        <f t="shared" si="27"/>
        <v/>
      </c>
      <c r="M45" s="179"/>
      <c r="R45" s="154"/>
      <c r="S45" s="166" t="s">
        <v>379</v>
      </c>
      <c r="T45" s="166">
        <v>200</v>
      </c>
      <c r="U45" s="177" t="s">
        <v>295</v>
      </c>
      <c r="V45" s="177" t="s">
        <v>300</v>
      </c>
      <c r="W45" s="177" t="str">
        <f t="shared" si="11"/>
        <v>A321-200 Brake Carbon Overhaul ( x 4 )</v>
      </c>
      <c r="X45" s="172">
        <v>4</v>
      </c>
      <c r="Y45" s="169"/>
      <c r="Z45" s="169"/>
      <c r="AA45" s="169">
        <v>2800</v>
      </c>
      <c r="AB45" s="173"/>
      <c r="AC45" s="173"/>
      <c r="AD45" s="173">
        <v>500</v>
      </c>
      <c r="AE45" s="169">
        <v>22660</v>
      </c>
      <c r="AF45" s="169">
        <v>2000</v>
      </c>
      <c r="AG45" s="154"/>
      <c r="AH45" s="322" t="s">
        <v>405</v>
      </c>
      <c r="AI45" s="246" t="s">
        <v>475</v>
      </c>
      <c r="AJ45" s="326" t="s">
        <v>427</v>
      </c>
      <c r="AK45" s="329">
        <v>30000</v>
      </c>
      <c r="AL45" s="328">
        <v>2</v>
      </c>
      <c r="AM45" s="400">
        <f>AM44+500</f>
        <v>8000</v>
      </c>
      <c r="AN45" s="384">
        <v>2250000</v>
      </c>
      <c r="AO45" s="159">
        <f t="shared" si="7"/>
        <v>140.625</v>
      </c>
      <c r="AP45" s="384">
        <v>7000</v>
      </c>
      <c r="AQ45" s="380">
        <f>AN45*1.1</f>
        <v>2475000</v>
      </c>
      <c r="AR45" s="159">
        <f t="shared" si="2"/>
        <v>176.78571428571428</v>
      </c>
      <c r="AS45" s="331">
        <v>4000</v>
      </c>
      <c r="AT45" s="331">
        <v>8000</v>
      </c>
      <c r="AU45" s="331">
        <v>1000</v>
      </c>
      <c r="AV45" s="331">
        <v>1000</v>
      </c>
      <c r="AW45" s="333">
        <v>150000</v>
      </c>
      <c r="AX45" s="333">
        <v>200000</v>
      </c>
      <c r="AY45" s="154"/>
      <c r="AZ45" s="154"/>
      <c r="BA45" s="154"/>
      <c r="BB45" s="154"/>
      <c r="BC45" s="154"/>
      <c r="BD45" s="154"/>
      <c r="BE45" s="154"/>
      <c r="BF45" s="154"/>
      <c r="BG45" s="154"/>
      <c r="BH45" s="154"/>
      <c r="BI45" s="154"/>
    </row>
    <row r="46" spans="2:73" x14ac:dyDescent="0.2">
      <c r="B46" s="177"/>
      <c r="C46" s="173"/>
      <c r="D46" s="166" t="str">
        <f t="shared" ref="D46:D49" si="31">IF(B46="","",B46&amp;C46)</f>
        <v/>
      </c>
      <c r="E46" s="226"/>
      <c r="F46" s="169"/>
      <c r="G46" s="169"/>
      <c r="H46" s="169"/>
      <c r="I46" s="170" t="str">
        <f t="shared" ref="I46:I49" si="32">IF(OR(E46="",H46=""),"",ROUND((H46/E46)/(3000/12),1))</f>
        <v/>
      </c>
      <c r="J46" s="169"/>
      <c r="K46" s="160" t="str">
        <f t="shared" ref="K46:K49" si="33">IF(OR(H46="",J46=""),"",H46-J46)</f>
        <v/>
      </c>
      <c r="L46" s="160" t="str">
        <f t="shared" ref="L46:L49" si="34">IF(OR(H46="",J46=""),"",H46+J46)</f>
        <v/>
      </c>
      <c r="M46" s="179"/>
      <c r="N46" s="159" t="str">
        <f t="shared" ref="N46:N49" si="35">IF(OR(E46="",M46=""),"",ROUND((M46/E46)/(3000/12),1))</f>
        <v/>
      </c>
      <c r="O46" s="169"/>
      <c r="P46" s="160" t="str">
        <f t="shared" ref="P46:P49" si="36">IF(OR(M46="",O46=""),"",M46-O46)</f>
        <v/>
      </c>
      <c r="Q46" s="160" t="str">
        <f t="shared" ref="Q46:Q49" si="37">IF(OR(M46="",O46=""),"",M46+O46)</f>
        <v/>
      </c>
      <c r="R46" s="154"/>
      <c r="S46" s="166"/>
      <c r="T46" s="166"/>
      <c r="U46" s="177"/>
      <c r="V46" s="177"/>
      <c r="W46" s="177"/>
      <c r="X46" s="172"/>
      <c r="Y46" s="169"/>
      <c r="Z46" s="169"/>
      <c r="AA46" s="169"/>
      <c r="AB46" s="173"/>
      <c r="AC46" s="173"/>
      <c r="AD46" s="173"/>
      <c r="AE46" s="178"/>
      <c r="AF46" s="169"/>
      <c r="AG46" s="154"/>
      <c r="AH46" s="318"/>
      <c r="AI46" s="166"/>
      <c r="AJ46" s="326"/>
      <c r="AK46" s="327"/>
      <c r="AL46" s="328"/>
      <c r="AM46" s="384"/>
      <c r="AN46" s="394"/>
      <c r="AO46" s="159"/>
      <c r="AP46" s="384"/>
      <c r="AQ46" s="380"/>
      <c r="AR46" s="159"/>
      <c r="AS46" s="331"/>
      <c r="AT46" s="331"/>
      <c r="AU46" s="331"/>
      <c r="AV46" s="331"/>
      <c r="AW46" s="333"/>
      <c r="AX46" s="333"/>
      <c r="AY46" s="154"/>
      <c r="AZ46" s="154"/>
      <c r="BA46" s="154"/>
      <c r="BB46" s="154"/>
      <c r="BC46" s="154"/>
      <c r="BD46" s="154"/>
      <c r="BE46" s="154"/>
      <c r="BF46" s="154"/>
      <c r="BG46" s="154"/>
      <c r="BH46" s="154"/>
      <c r="BI46" s="154"/>
    </row>
    <row r="47" spans="2:73" x14ac:dyDescent="0.2">
      <c r="B47" s="177"/>
      <c r="C47" s="173"/>
      <c r="D47" s="166" t="str">
        <f t="shared" si="31"/>
        <v/>
      </c>
      <c r="E47" s="226"/>
      <c r="F47" s="169"/>
      <c r="G47" s="169"/>
      <c r="H47" s="169"/>
      <c r="I47" s="170" t="str">
        <f t="shared" si="32"/>
        <v/>
      </c>
      <c r="J47" s="169"/>
      <c r="K47" s="160" t="str">
        <f t="shared" si="33"/>
        <v/>
      </c>
      <c r="L47" s="160" t="str">
        <f t="shared" si="34"/>
        <v/>
      </c>
      <c r="M47" s="179"/>
      <c r="N47" s="159" t="str">
        <f t="shared" si="35"/>
        <v/>
      </c>
      <c r="O47" s="169"/>
      <c r="P47" s="160" t="str">
        <f t="shared" si="36"/>
        <v/>
      </c>
      <c r="Q47" s="160" t="str">
        <f t="shared" si="37"/>
        <v/>
      </c>
      <c r="R47" s="154"/>
      <c r="S47" s="166"/>
      <c r="T47" s="166"/>
      <c r="U47" s="177"/>
      <c r="V47" s="177"/>
      <c r="W47" s="177"/>
      <c r="X47" s="172"/>
      <c r="Y47" s="169"/>
      <c r="Z47" s="169"/>
      <c r="AA47" s="169"/>
      <c r="AB47" s="173"/>
      <c r="AC47" s="173"/>
      <c r="AD47" s="173"/>
      <c r="AE47" s="178"/>
      <c r="AF47" s="169"/>
      <c r="AG47" s="154"/>
      <c r="AH47" s="322" t="s">
        <v>406</v>
      </c>
      <c r="AI47" s="246">
        <v>2533</v>
      </c>
      <c r="AJ47" s="326" t="s">
        <v>427</v>
      </c>
      <c r="AK47" s="329">
        <v>33000</v>
      </c>
      <c r="AL47" s="328">
        <v>2</v>
      </c>
      <c r="AM47" s="400">
        <v>7750</v>
      </c>
      <c r="AN47" s="384">
        <v>2250000</v>
      </c>
      <c r="AO47" s="159">
        <f t="shared" si="7"/>
        <v>145.16129032258064</v>
      </c>
      <c r="AP47" s="400">
        <v>5750</v>
      </c>
      <c r="AQ47" s="380">
        <f>AN47*1.1</f>
        <v>2475000</v>
      </c>
      <c r="AR47" s="159">
        <f t="shared" si="2"/>
        <v>215.21739130434781</v>
      </c>
      <c r="AS47" s="331">
        <v>3500</v>
      </c>
      <c r="AT47" s="331">
        <v>6500</v>
      </c>
      <c r="AU47" s="331">
        <v>1000</v>
      </c>
      <c r="AV47" s="331">
        <v>1000</v>
      </c>
      <c r="AW47" s="333">
        <v>150000</v>
      </c>
      <c r="AX47" s="333">
        <v>200000</v>
      </c>
      <c r="AY47" s="154"/>
      <c r="AZ47" s="154"/>
      <c r="BA47" s="154"/>
      <c r="BB47" s="154"/>
      <c r="BC47" s="154"/>
      <c r="BD47" s="154"/>
      <c r="BE47" s="154"/>
      <c r="BF47" s="154"/>
      <c r="BG47" s="154"/>
      <c r="BH47" s="154"/>
      <c r="BI47" s="154"/>
    </row>
    <row r="48" spans="2:73" x14ac:dyDescent="0.2">
      <c r="B48" s="177"/>
      <c r="C48" s="173"/>
      <c r="D48" s="166" t="str">
        <f t="shared" si="31"/>
        <v/>
      </c>
      <c r="E48" s="226"/>
      <c r="F48" s="169"/>
      <c r="G48" s="169"/>
      <c r="H48" s="169"/>
      <c r="I48" s="170" t="str">
        <f t="shared" si="32"/>
        <v/>
      </c>
      <c r="J48" s="169"/>
      <c r="K48" s="160" t="str">
        <f t="shared" si="33"/>
        <v/>
      </c>
      <c r="L48" s="160" t="str">
        <f t="shared" si="34"/>
        <v/>
      </c>
      <c r="M48" s="179"/>
      <c r="N48" s="159" t="str">
        <f t="shared" si="35"/>
        <v/>
      </c>
      <c r="O48" s="169"/>
      <c r="P48" s="160" t="str">
        <f t="shared" si="36"/>
        <v/>
      </c>
      <c r="Q48" s="160" t="str">
        <f t="shared" si="37"/>
        <v/>
      </c>
      <c r="R48" s="154"/>
      <c r="S48" s="166"/>
      <c r="T48" s="166"/>
      <c r="U48" s="177"/>
      <c r="V48" s="177"/>
      <c r="W48" s="177"/>
      <c r="X48" s="172"/>
      <c r="Y48" s="169"/>
      <c r="Z48" s="169"/>
      <c r="AA48" s="169"/>
      <c r="AB48" s="173"/>
      <c r="AC48" s="173"/>
      <c r="AD48" s="173"/>
      <c r="AE48" s="178"/>
      <c r="AF48" s="169"/>
      <c r="AG48" s="154"/>
      <c r="AH48" s="322" t="s">
        <v>407</v>
      </c>
      <c r="AI48" s="246" t="s">
        <v>476</v>
      </c>
      <c r="AJ48" s="326" t="s">
        <v>427</v>
      </c>
      <c r="AK48" s="329">
        <v>33000</v>
      </c>
      <c r="AL48" s="328">
        <v>2</v>
      </c>
      <c r="AM48" s="400">
        <f>AM47+500</f>
        <v>8250</v>
      </c>
      <c r="AN48" s="384">
        <v>2250000</v>
      </c>
      <c r="AO48" s="159">
        <f t="shared" si="7"/>
        <v>136.36363636363637</v>
      </c>
      <c r="AP48" s="400">
        <v>6000</v>
      </c>
      <c r="AQ48" s="380">
        <f>AN48*1.1</f>
        <v>2475000</v>
      </c>
      <c r="AR48" s="159">
        <f t="shared" si="2"/>
        <v>206.25</v>
      </c>
      <c r="AS48" s="331">
        <v>3500</v>
      </c>
      <c r="AT48" s="331">
        <v>6500</v>
      </c>
      <c r="AU48" s="331">
        <v>1000</v>
      </c>
      <c r="AV48" s="331">
        <v>1000</v>
      </c>
      <c r="AW48" s="333">
        <v>150000</v>
      </c>
      <c r="AX48" s="333">
        <v>200000</v>
      </c>
      <c r="AY48" s="154"/>
      <c r="AZ48" s="154"/>
      <c r="BA48" s="154"/>
      <c r="BB48" s="154"/>
      <c r="BC48" s="154"/>
      <c r="BD48" s="154"/>
      <c r="BE48" s="154"/>
      <c r="BF48" s="154"/>
      <c r="BG48" s="154"/>
      <c r="BH48" s="154"/>
      <c r="BI48" s="154"/>
    </row>
    <row r="49" spans="2:61" x14ac:dyDescent="0.2">
      <c r="B49" s="177"/>
      <c r="C49" s="173"/>
      <c r="D49" s="166" t="str">
        <f t="shared" si="31"/>
        <v/>
      </c>
      <c r="E49" s="226"/>
      <c r="F49" s="169"/>
      <c r="G49" s="169"/>
      <c r="H49" s="169"/>
      <c r="I49" s="170" t="str">
        <f t="shared" si="32"/>
        <v/>
      </c>
      <c r="J49" s="169"/>
      <c r="K49" s="160" t="str">
        <f t="shared" si="33"/>
        <v/>
      </c>
      <c r="L49" s="160" t="str">
        <f t="shared" si="34"/>
        <v/>
      </c>
      <c r="M49" s="179"/>
      <c r="N49" s="159" t="str">
        <f t="shared" si="35"/>
        <v/>
      </c>
      <c r="O49" s="169"/>
      <c r="P49" s="160" t="str">
        <f t="shared" si="36"/>
        <v/>
      </c>
      <c r="Q49" s="160" t="str">
        <f t="shared" si="37"/>
        <v/>
      </c>
      <c r="R49" s="154"/>
      <c r="S49" s="166"/>
      <c r="T49" s="166"/>
      <c r="U49" s="177"/>
      <c r="V49" s="177"/>
      <c r="W49" s="177"/>
      <c r="X49" s="172"/>
      <c r="Y49" s="169"/>
      <c r="Z49" s="169"/>
      <c r="AA49" s="169"/>
      <c r="AB49" s="173"/>
      <c r="AC49" s="173"/>
      <c r="AD49" s="173"/>
      <c r="AE49" s="178"/>
      <c r="AF49" s="169"/>
      <c r="AG49" s="154"/>
      <c r="AH49" s="177"/>
      <c r="AI49" s="177"/>
      <c r="AJ49" s="177"/>
      <c r="AK49" s="177"/>
      <c r="AL49" s="180"/>
      <c r="AM49" s="179"/>
      <c r="AN49" s="179"/>
      <c r="AO49" s="159"/>
      <c r="AP49" s="179"/>
      <c r="AQ49" s="179"/>
      <c r="AR49" s="159"/>
      <c r="AS49" s="179"/>
      <c r="AT49" s="179"/>
      <c r="AU49" s="179"/>
      <c r="AV49" s="179"/>
      <c r="AW49" s="179"/>
      <c r="AX49" s="179"/>
      <c r="AY49" s="154"/>
      <c r="AZ49" s="154"/>
      <c r="BA49" s="154"/>
      <c r="BB49" s="154"/>
      <c r="BC49" s="154"/>
      <c r="BD49" s="154"/>
      <c r="BE49" s="154"/>
      <c r="BF49" s="154"/>
      <c r="BG49" s="154"/>
      <c r="BH49" s="154"/>
      <c r="BI49" s="154"/>
    </row>
    <row r="50" spans="2:61" x14ac:dyDescent="0.2"/>
  </sheetData>
  <sheetProtection password="FFBD" sheet="1" objects="1" scenarios="1"/>
  <mergeCells count="15">
    <mergeCell ref="BP3:BS3"/>
    <mergeCell ref="AU3:AV3"/>
    <mergeCell ref="B3:C3"/>
    <mergeCell ref="AB3:AD3"/>
    <mergeCell ref="E3:G3"/>
    <mergeCell ref="Y3:AA3"/>
    <mergeCell ref="AS3:AT3"/>
    <mergeCell ref="H3:L3"/>
    <mergeCell ref="M3:Q3"/>
    <mergeCell ref="AZ3:BD3"/>
    <mergeCell ref="AW3:AX3"/>
    <mergeCell ref="AM3:AO3"/>
    <mergeCell ref="AP3:AR3"/>
    <mergeCell ref="BL3:BO3"/>
    <mergeCell ref="BE3:BI3"/>
  </mergeCells>
  <pageMargins left="0.7" right="0.7" top="0.75" bottom="0.75" header="0.3" footer="0.3"/>
  <pageSetup orientation="portrait" r:id="rId1"/>
  <ignoredErrors>
    <ignoredError sqref="AO6 AO12 AR8 AO9:AO11 AR11 AO16 AO13:AO15 AR14:AR15 AO20 AO17:AO19 AR17:AR18 AO24 AO21 AR21 AO26:AO27 AO25 AR9 AO22:AO23 AR26:AR27 AR12 AR16 AR20 AR24 AP5:AQ50 AM12:AM13 BI5 H46 M46:N46 I46:L46 I47:L49 I50:Q50 M47:Q49 O46:Q46 I5:Q43 H5:H39 AM28:AM40 AM15:AM25 AM42 BB23:BC29 BD23 AZ5:BD22 AZ30:BD31 AZ23:BA23 AZ24:BA29 BI6:BI29 BE30:BI31 BE6:BH29" unlockedFormula="1"/>
    <ignoredError sqref="AO8 BD24:BD29" formula="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zoomScaleNormal="100" workbookViewId="0">
      <selection activeCell="B6" sqref="B6"/>
    </sheetView>
  </sheetViews>
  <sheetFormatPr defaultColWidth="0" defaultRowHeight="11.25" zeroHeight="1" x14ac:dyDescent="0.2"/>
  <cols>
    <col min="1" max="1" width="1.7109375" style="9" customWidth="1"/>
    <col min="2" max="2" width="12.7109375" style="9" customWidth="1"/>
    <col min="3" max="3" width="2.7109375" style="9" customWidth="1"/>
    <col min="4" max="4" width="12.7109375" style="9" customWidth="1"/>
    <col min="5" max="5" width="13.7109375" style="9" customWidth="1"/>
    <col min="6" max="6" width="18.42578125" style="9" customWidth="1"/>
    <col min="7" max="7" width="3.140625" style="9" customWidth="1"/>
    <col min="8" max="8" width="12.5703125" style="9" customWidth="1"/>
    <col min="9" max="9" width="5.28515625" style="8" customWidth="1"/>
    <col min="10" max="10" width="18.7109375" style="8" customWidth="1"/>
    <col min="11" max="13" width="16.7109375" style="9" customWidth="1"/>
    <col min="14" max="14" width="1.7109375" style="9" customWidth="1"/>
    <col min="15" max="28" width="9.140625" style="9" hidden="1" customWidth="1"/>
    <col min="29" max="29" width="6.42578125" style="9" hidden="1" customWidth="1"/>
    <col min="30" max="32" width="5.7109375" style="9" hidden="1" customWidth="1"/>
    <col min="33" max="33" width="6.140625" style="9" hidden="1" customWidth="1"/>
    <col min="34" max="37" width="5.7109375" style="9" hidden="1" customWidth="1"/>
    <col min="38" max="38" width="7.85546875" style="9" hidden="1" customWidth="1"/>
    <col min="39" max="41" width="5.7109375" style="9" hidden="1" customWidth="1"/>
    <col min="42" max="42" width="7.85546875" style="9" hidden="1" customWidth="1"/>
    <col min="43" max="45" width="5.7109375" style="9" hidden="1" customWidth="1"/>
    <col min="46" max="46" width="7.85546875" style="9" hidden="1" customWidth="1"/>
    <col min="47" max="49" width="5.7109375" style="9" hidden="1" customWidth="1"/>
    <col min="50" max="50" width="7.85546875" style="9" hidden="1" customWidth="1"/>
    <col min="51" max="51" width="5.7109375" style="9" hidden="1" customWidth="1"/>
    <col min="52" max="52" width="4.85546875" style="9" hidden="1" customWidth="1"/>
    <col min="53" max="53" width="5.7109375" style="9" hidden="1" customWidth="1"/>
    <col min="54" max="54" width="2.28515625" style="9" hidden="1" customWidth="1"/>
    <col min="55" max="55" width="9.140625" style="9" hidden="1" customWidth="1"/>
    <col min="56" max="60" width="10" style="9" hidden="1" customWidth="1"/>
    <col min="61" max="16384" width="9.140625" style="9" hidden="1"/>
  </cols>
  <sheetData>
    <row r="1" spans="2:61" ht="6" customHeight="1" x14ac:dyDescent="0.2"/>
    <row r="2" spans="2:61" x14ac:dyDescent="0.2">
      <c r="B2" s="95" t="s">
        <v>254</v>
      </c>
      <c r="C2" s="95"/>
      <c r="D2" s="95"/>
      <c r="E2" s="96"/>
      <c r="F2" s="95" t="str">
        <f>" "&amp;$B$6&amp;"  -  "&amp;$D$6&amp;"  -  BASE OPERATING PARAMETERS"</f>
        <v xml:space="preserve"> 737-800  -  CFM56-7B26/3  -  BASE OPERATING PARAMETERS</v>
      </c>
      <c r="G2" s="95"/>
      <c r="H2" s="97"/>
      <c r="I2" s="97"/>
      <c r="J2" s="97"/>
      <c r="K2" s="97"/>
      <c r="L2" s="97"/>
      <c r="M2" s="97"/>
      <c r="AC2" s="104" t="e">
        <f>#REF!</f>
        <v>#REF!</v>
      </c>
      <c r="AD2" s="105"/>
      <c r="AE2" s="106" t="e">
        <f>VLOOKUP(D6,SOURCE!AH5:AX49,3,FALSE)</f>
        <v>#N/A</v>
      </c>
      <c r="AF2" s="107" t="s">
        <v>139</v>
      </c>
      <c r="AG2" s="107" t="s">
        <v>82</v>
      </c>
      <c r="AH2" s="107"/>
      <c r="AI2" s="107"/>
      <c r="AJ2" s="107"/>
      <c r="AK2" s="107"/>
      <c r="AL2" s="108"/>
      <c r="AM2" s="108"/>
      <c r="AN2" s="108"/>
      <c r="AO2" s="108"/>
      <c r="AP2" s="108"/>
      <c r="AQ2" s="108"/>
      <c r="AR2" s="108"/>
      <c r="AS2" s="108"/>
      <c r="AT2" s="108"/>
      <c r="AU2" s="108"/>
      <c r="AV2" s="108"/>
      <c r="AW2" s="108"/>
      <c r="AX2" s="108"/>
      <c r="AY2" s="108"/>
      <c r="AZ2" s="108"/>
      <c r="BA2" s="108"/>
      <c r="BC2" s="109" t="s">
        <v>90</v>
      </c>
      <c r="BD2" s="98"/>
      <c r="BE2" s="98"/>
      <c r="BF2" s="98"/>
      <c r="BG2" s="98"/>
      <c r="BH2" s="98"/>
      <c r="BI2" s="98"/>
    </row>
    <row r="3" spans="2:61" ht="3" customHeight="1" x14ac:dyDescent="0.2">
      <c r="AC3" s="10" t="s">
        <v>21</v>
      </c>
      <c r="AD3" s="125" t="s">
        <v>30</v>
      </c>
      <c r="AE3" s="126"/>
      <c r="AF3" s="126"/>
      <c r="AG3" s="127"/>
      <c r="AH3" s="122" t="s">
        <v>31</v>
      </c>
      <c r="AI3" s="123"/>
      <c r="AJ3" s="123"/>
      <c r="AK3" s="124"/>
      <c r="AL3" s="92" t="s">
        <v>146</v>
      </c>
      <c r="AM3" s="93"/>
      <c r="AN3" s="93"/>
      <c r="AO3" s="94"/>
      <c r="AP3" s="92" t="s">
        <v>147</v>
      </c>
      <c r="AQ3" s="93"/>
      <c r="AR3" s="93"/>
      <c r="AS3" s="94"/>
      <c r="AT3" s="92" t="s">
        <v>148</v>
      </c>
      <c r="AU3" s="93"/>
      <c r="AV3" s="93"/>
      <c r="AW3" s="94"/>
      <c r="AX3" s="92" t="s">
        <v>149</v>
      </c>
      <c r="AY3" s="93"/>
      <c r="AZ3" s="93"/>
      <c r="BA3" s="94"/>
      <c r="BC3" s="11" t="s">
        <v>33</v>
      </c>
      <c r="BD3" s="12" t="s">
        <v>4</v>
      </c>
      <c r="BE3" s="122" t="s">
        <v>35</v>
      </c>
      <c r="BF3" s="123"/>
      <c r="BG3" s="123"/>
      <c r="BH3" s="124"/>
      <c r="BI3" s="12" t="s">
        <v>4</v>
      </c>
    </row>
    <row r="4" spans="2:61" ht="3" customHeight="1" x14ac:dyDescent="0.2">
      <c r="B4" s="129"/>
      <c r="C4" s="129"/>
      <c r="D4" s="129"/>
      <c r="E4" s="130"/>
      <c r="F4" s="88"/>
      <c r="K4" s="8"/>
      <c r="AC4" s="15" t="s">
        <v>22</v>
      </c>
      <c r="AD4" s="10" t="s">
        <v>28</v>
      </c>
      <c r="AE4" s="10" t="s">
        <v>26</v>
      </c>
      <c r="AF4" s="10" t="s">
        <v>29</v>
      </c>
      <c r="AG4" s="10" t="s">
        <v>27</v>
      </c>
      <c r="AH4" s="10" t="s">
        <v>28</v>
      </c>
      <c r="AI4" s="10" t="s">
        <v>26</v>
      </c>
      <c r="AJ4" s="10" t="s">
        <v>29</v>
      </c>
      <c r="AK4" s="10" t="s">
        <v>27</v>
      </c>
      <c r="AL4" s="10" t="s">
        <v>32</v>
      </c>
      <c r="AM4" s="10" t="s">
        <v>9</v>
      </c>
      <c r="AN4" s="10" t="s">
        <v>13</v>
      </c>
      <c r="AO4" s="10" t="s">
        <v>12</v>
      </c>
      <c r="AP4" s="10" t="s">
        <v>32</v>
      </c>
      <c r="AQ4" s="10" t="s">
        <v>9</v>
      </c>
      <c r="AR4" s="10" t="s">
        <v>13</v>
      </c>
      <c r="AS4" s="10" t="s">
        <v>12</v>
      </c>
      <c r="AT4" s="10" t="s">
        <v>32</v>
      </c>
      <c r="AU4" s="10" t="s">
        <v>9</v>
      </c>
      <c r="AV4" s="10" t="s">
        <v>13</v>
      </c>
      <c r="AW4" s="10" t="s">
        <v>12</v>
      </c>
      <c r="AX4" s="10" t="s">
        <v>32</v>
      </c>
      <c r="AY4" s="10" t="s">
        <v>9</v>
      </c>
      <c r="AZ4" s="10" t="s">
        <v>13</v>
      </c>
      <c r="BA4" s="10" t="s">
        <v>12</v>
      </c>
      <c r="BC4" s="16" t="s">
        <v>34</v>
      </c>
      <c r="BD4" s="16" t="s">
        <v>34</v>
      </c>
      <c r="BE4" s="16" t="s">
        <v>235</v>
      </c>
      <c r="BF4" s="16" t="s">
        <v>236</v>
      </c>
      <c r="BG4" s="16" t="s">
        <v>253</v>
      </c>
      <c r="BH4" s="16" t="s">
        <v>237</v>
      </c>
      <c r="BI4" s="127" t="s">
        <v>219</v>
      </c>
    </row>
    <row r="5" spans="2:61" x14ac:dyDescent="0.2">
      <c r="B5" s="131" t="s">
        <v>24</v>
      </c>
      <c r="C5" s="129"/>
      <c r="D5" s="131" t="s">
        <v>23</v>
      </c>
      <c r="E5" s="132"/>
      <c r="F5" s="13" t="e">
        <f>IF($BI$5="True"," -  Avg flight leg : 1.7"," -  Avg flight leg : 2.0")</f>
        <v>#N/A</v>
      </c>
      <c r="H5" s="89" t="s">
        <v>230</v>
      </c>
      <c r="AC5" s="59">
        <v>1</v>
      </c>
      <c r="AD5" s="60">
        <f>SOURCE!BL5</f>
        <v>1.6</v>
      </c>
      <c r="AE5" s="60">
        <f>SOURCE!BM5</f>
        <v>0.95</v>
      </c>
      <c r="AF5" s="60">
        <f>SOURCE!BN5</f>
        <v>1.7</v>
      </c>
      <c r="AG5" s="60">
        <f>SOURCE!BO5</f>
        <v>0.95</v>
      </c>
      <c r="AH5" s="60">
        <f>SOURCE!BP5</f>
        <v>1.6419999999999999</v>
      </c>
      <c r="AI5" s="60">
        <f>SOURCE!BQ5</f>
        <v>0.97</v>
      </c>
      <c r="AJ5" s="60">
        <f>SOURCE!BR5</f>
        <v>1.7</v>
      </c>
      <c r="AK5" s="60">
        <f>SOURCE!BS5</f>
        <v>0.97</v>
      </c>
      <c r="AL5" s="50" t="e">
        <f t="shared" ref="AL5:AL12" si="0">$AL$13*AE5</f>
        <v>#N/A</v>
      </c>
      <c r="AM5" s="51" t="e">
        <f t="shared" ref="AM5:AM12" si="1">$AM$13*AD5</f>
        <v>#N/A</v>
      </c>
      <c r="AN5" s="50" t="e">
        <f>AO5/AC5</f>
        <v>#N/A</v>
      </c>
      <c r="AO5" s="50" t="e">
        <f>AL5/AM5</f>
        <v>#N/A</v>
      </c>
      <c r="AP5" s="50" t="e">
        <f t="shared" ref="AP5:AP12" si="2">$AP$13*AG5</f>
        <v>#N/A</v>
      </c>
      <c r="AQ5" s="51" t="e">
        <f t="shared" ref="AQ5:AQ12" si="3">$AQ$13*AF5</f>
        <v>#N/A</v>
      </c>
      <c r="AR5" s="50" t="e">
        <f>AS5/AC5</f>
        <v>#N/A</v>
      </c>
      <c r="AS5" s="50" t="e">
        <f t="shared" ref="AS5:AS46" si="4">AP5/AQ5</f>
        <v>#N/A</v>
      </c>
      <c r="AT5" s="50" t="e">
        <f t="shared" ref="AT5:AT15" si="5">$AT$16*AI5</f>
        <v>#N/A</v>
      </c>
      <c r="AU5" s="51" t="e">
        <f t="shared" ref="AU5:AU15" si="6">$AU$16*AH5</f>
        <v>#N/A</v>
      </c>
      <c r="AV5" s="50" t="e">
        <f t="shared" ref="AV5:AV46" si="7">AW5/AC5</f>
        <v>#N/A</v>
      </c>
      <c r="AW5" s="50" t="e">
        <f>AT5/AU5</f>
        <v>#N/A</v>
      </c>
      <c r="AX5" s="50" t="e">
        <f t="shared" ref="AX5:AX15" si="8">$AX$16*AK5</f>
        <v>#N/A</v>
      </c>
      <c r="AY5" s="51" t="e">
        <f t="shared" ref="AY5:AY15" si="9">$AY$16*AJ5</f>
        <v>#N/A</v>
      </c>
      <c r="AZ5" s="50" t="e">
        <f t="shared" ref="AZ5:AZ46" si="10">BA5/AC5</f>
        <v>#N/A</v>
      </c>
      <c r="BA5" s="50" t="e">
        <f>AX5/AY5</f>
        <v>#N/A</v>
      </c>
      <c r="BC5" s="1" t="s">
        <v>235</v>
      </c>
      <c r="BD5" s="14" t="str">
        <f t="shared" ref="BD5:BD10" si="11">IF($B$10="737-600",BE5,IF($B$10="737-700",BF5,IF($B$10="737-800",BG5,BH5)))</f>
        <v>CFM56-7B24/P</v>
      </c>
      <c r="BE5" s="90" t="s">
        <v>241</v>
      </c>
      <c r="BF5" s="90" t="s">
        <v>243</v>
      </c>
      <c r="BG5" s="90" t="s">
        <v>247</v>
      </c>
      <c r="BH5" s="90" t="s">
        <v>247</v>
      </c>
      <c r="BI5" s="9" t="e">
        <f>IF(AE2&lt;25000,"True","")</f>
        <v>#N/A</v>
      </c>
    </row>
    <row r="6" spans="2:61" x14ac:dyDescent="0.2">
      <c r="B6" s="72" t="s">
        <v>253</v>
      </c>
      <c r="C6" s="57"/>
      <c r="D6" s="73" t="s">
        <v>250</v>
      </c>
      <c r="E6" s="133"/>
      <c r="F6" s="89" t="s">
        <v>232</v>
      </c>
      <c r="H6" s="89" t="s">
        <v>231</v>
      </c>
      <c r="AC6" s="20">
        <v>1.1000000000000001</v>
      </c>
      <c r="AD6" s="18">
        <f>(AD5-($AD$5-$AD$10)/5)</f>
        <v>1.52</v>
      </c>
      <c r="AE6" s="18">
        <f>AE5-($AE$5-$AE$10)/5</f>
        <v>0.95399999999999996</v>
      </c>
      <c r="AF6" s="18">
        <f>AF5-($AF$5-$AF$10)/5</f>
        <v>1.6099999999999999</v>
      </c>
      <c r="AG6" s="18">
        <f>AG5-($AG$5-$AG$10)/5</f>
        <v>0.95399999999999996</v>
      </c>
      <c r="AH6" s="18">
        <f>AH5-($AH$5-$AH$10)/5</f>
        <v>1.5466</v>
      </c>
      <c r="AI6" s="18">
        <f>AI5-($AI$5-$AI$10)/5</f>
        <v>0.97199999999999998</v>
      </c>
      <c r="AJ6" s="18">
        <f>AJ5-($AJ$5-$AJ$10)/5</f>
        <v>1.6099999999999999</v>
      </c>
      <c r="AK6" s="18">
        <f>AK5-($AK$5-$AK$10)/5</f>
        <v>0.97199999999999998</v>
      </c>
      <c r="AL6" s="50" t="e">
        <f t="shared" si="0"/>
        <v>#N/A</v>
      </c>
      <c r="AM6" s="51" t="e">
        <f t="shared" si="1"/>
        <v>#N/A</v>
      </c>
      <c r="AN6" s="50" t="e">
        <f t="shared" ref="AN6:AN12" si="12">AO6/AC6</f>
        <v>#N/A</v>
      </c>
      <c r="AO6" s="50" t="e">
        <f t="shared" ref="AO6:AO46" si="13">AL6/AM6</f>
        <v>#N/A</v>
      </c>
      <c r="AP6" s="50" t="e">
        <f t="shared" si="2"/>
        <v>#N/A</v>
      </c>
      <c r="AQ6" s="51" t="e">
        <f t="shared" si="3"/>
        <v>#N/A</v>
      </c>
      <c r="AR6" s="50" t="e">
        <f t="shared" ref="AR6:AR46" si="14">AS6/AC6</f>
        <v>#N/A</v>
      </c>
      <c r="AS6" s="50" t="e">
        <f t="shared" si="4"/>
        <v>#N/A</v>
      </c>
      <c r="AT6" s="50" t="e">
        <f t="shared" si="5"/>
        <v>#N/A</v>
      </c>
      <c r="AU6" s="51" t="e">
        <f t="shared" si="6"/>
        <v>#N/A</v>
      </c>
      <c r="AV6" s="50" t="e">
        <f t="shared" si="7"/>
        <v>#N/A</v>
      </c>
      <c r="AW6" s="50" t="e">
        <f t="shared" ref="AW6:AW46" si="15">AT6/AU6</f>
        <v>#N/A</v>
      </c>
      <c r="AX6" s="50" t="e">
        <f t="shared" si="8"/>
        <v>#N/A</v>
      </c>
      <c r="AY6" s="51" t="e">
        <f t="shared" si="9"/>
        <v>#N/A</v>
      </c>
      <c r="AZ6" s="50" t="e">
        <f t="shared" si="10"/>
        <v>#N/A</v>
      </c>
      <c r="BA6" s="50" t="e">
        <f t="shared" ref="BA6:BA46" si="16">AX6/AY6</f>
        <v>#N/A</v>
      </c>
      <c r="BC6" s="1" t="s">
        <v>236</v>
      </c>
      <c r="BD6" s="14" t="str">
        <f t="shared" si="11"/>
        <v>CFM56-7B24/3</v>
      </c>
      <c r="BE6" s="90" t="s">
        <v>242</v>
      </c>
      <c r="BF6" s="90" t="s">
        <v>244</v>
      </c>
      <c r="BG6" s="90" t="s">
        <v>248</v>
      </c>
      <c r="BH6" s="90" t="s">
        <v>248</v>
      </c>
    </row>
    <row r="7" spans="2:61" ht="6" customHeight="1" x14ac:dyDescent="0.2">
      <c r="C7" s="129"/>
      <c r="D7" s="129"/>
      <c r="AC7" s="20">
        <v>1.2</v>
      </c>
      <c r="AD7" s="18">
        <f>(AD6-($AD$5-$AD$10)/5)</f>
        <v>1.44</v>
      </c>
      <c r="AE7" s="18">
        <f>AE6-($AE$5-$AE$10)/5</f>
        <v>0.95799999999999996</v>
      </c>
      <c r="AF7" s="18">
        <f>AF6-($AF$5-$AF$10)/5</f>
        <v>1.5199999999999998</v>
      </c>
      <c r="AG7" s="18">
        <f>AG6-($AG$5-$AG$10)/5</f>
        <v>0.95799999999999996</v>
      </c>
      <c r="AH7" s="18">
        <f>AH6-($AH$5-$AH$10)/5</f>
        <v>1.4512</v>
      </c>
      <c r="AI7" s="18">
        <f>AI6-($AI$5-$AI$10)/5</f>
        <v>0.97399999999999998</v>
      </c>
      <c r="AJ7" s="18">
        <f>AJ6-($AJ$5-$AJ$10)/5</f>
        <v>1.5199999999999998</v>
      </c>
      <c r="AK7" s="18">
        <f>AK6-($AK$5-$AK$10)/5</f>
        <v>0.97399999999999998</v>
      </c>
      <c r="AL7" s="50" t="e">
        <f t="shared" si="0"/>
        <v>#N/A</v>
      </c>
      <c r="AM7" s="51" t="e">
        <f t="shared" si="1"/>
        <v>#N/A</v>
      </c>
      <c r="AN7" s="50" t="e">
        <f t="shared" si="12"/>
        <v>#N/A</v>
      </c>
      <c r="AO7" s="50" t="e">
        <f t="shared" si="13"/>
        <v>#N/A</v>
      </c>
      <c r="AP7" s="50" t="e">
        <f t="shared" si="2"/>
        <v>#N/A</v>
      </c>
      <c r="AQ7" s="51" t="e">
        <f t="shared" si="3"/>
        <v>#N/A</v>
      </c>
      <c r="AR7" s="50" t="e">
        <f t="shared" si="14"/>
        <v>#N/A</v>
      </c>
      <c r="AS7" s="50" t="e">
        <f t="shared" si="4"/>
        <v>#N/A</v>
      </c>
      <c r="AT7" s="50" t="e">
        <f t="shared" si="5"/>
        <v>#N/A</v>
      </c>
      <c r="AU7" s="51" t="e">
        <f t="shared" si="6"/>
        <v>#N/A</v>
      </c>
      <c r="AV7" s="50" t="e">
        <f t="shared" si="7"/>
        <v>#N/A</v>
      </c>
      <c r="AW7" s="50" t="e">
        <f t="shared" si="15"/>
        <v>#N/A</v>
      </c>
      <c r="AX7" s="50" t="e">
        <f t="shared" si="8"/>
        <v>#N/A</v>
      </c>
      <c r="AY7" s="51" t="e">
        <f t="shared" si="9"/>
        <v>#N/A</v>
      </c>
      <c r="AZ7" s="50" t="e">
        <f t="shared" si="10"/>
        <v>#N/A</v>
      </c>
      <c r="BA7" s="50" t="e">
        <f t="shared" si="16"/>
        <v>#N/A</v>
      </c>
      <c r="BC7" s="1" t="s">
        <v>253</v>
      </c>
      <c r="BD7" s="14" t="str">
        <f t="shared" si="11"/>
        <v>CFM56-7B26/P</v>
      </c>
      <c r="BE7" s="90" t="s">
        <v>243</v>
      </c>
      <c r="BF7" s="90" t="s">
        <v>245</v>
      </c>
      <c r="BG7" s="90" t="s">
        <v>249</v>
      </c>
      <c r="BH7" s="90" t="s">
        <v>249</v>
      </c>
    </row>
    <row r="8" spans="2:61" x14ac:dyDescent="0.2">
      <c r="B8" s="83"/>
      <c r="C8" s="83"/>
      <c r="D8" s="83"/>
      <c r="E8" s="83"/>
      <c r="F8" s="83"/>
      <c r="G8" s="83"/>
      <c r="H8" s="83"/>
      <c r="I8" s="84"/>
      <c r="J8" s="84"/>
      <c r="K8" s="503" t="s">
        <v>221</v>
      </c>
      <c r="L8" s="503"/>
      <c r="M8" s="503"/>
      <c r="AC8" s="20">
        <v>1.3</v>
      </c>
      <c r="AD8" s="18">
        <f>(AD7-($AD$5-$AD$10)/5)</f>
        <v>1.3599999999999999</v>
      </c>
      <c r="AE8" s="18">
        <f>AE7-($AE$5-$AE$10)/5</f>
        <v>0.96199999999999997</v>
      </c>
      <c r="AF8" s="18">
        <f>AF7-($AF$5-$AF$10)/5</f>
        <v>1.4299999999999997</v>
      </c>
      <c r="AG8" s="18">
        <f>AG7-($AG$5-$AG$10)/5</f>
        <v>0.96199999999999997</v>
      </c>
      <c r="AH8" s="18">
        <f>AH7-($AH$5-$AH$10)/5</f>
        <v>1.3558000000000001</v>
      </c>
      <c r="AI8" s="18">
        <f>AI7-($AI$5-$AI$10)/5</f>
        <v>0.97599999999999998</v>
      </c>
      <c r="AJ8" s="18">
        <f>AJ7-($AJ$5-$AJ$10)/5</f>
        <v>1.4299999999999997</v>
      </c>
      <c r="AK8" s="18">
        <f>AK7-($AK$5-$AK$10)/5</f>
        <v>0.97599999999999998</v>
      </c>
      <c r="AL8" s="50" t="e">
        <f t="shared" si="0"/>
        <v>#N/A</v>
      </c>
      <c r="AM8" s="51" t="e">
        <f t="shared" si="1"/>
        <v>#N/A</v>
      </c>
      <c r="AN8" s="50" t="e">
        <f t="shared" si="12"/>
        <v>#N/A</v>
      </c>
      <c r="AO8" s="50" t="e">
        <f t="shared" si="13"/>
        <v>#N/A</v>
      </c>
      <c r="AP8" s="50" t="e">
        <f t="shared" si="2"/>
        <v>#N/A</v>
      </c>
      <c r="AQ8" s="51" t="e">
        <f t="shared" si="3"/>
        <v>#N/A</v>
      </c>
      <c r="AR8" s="50" t="e">
        <f t="shared" si="14"/>
        <v>#N/A</v>
      </c>
      <c r="AS8" s="50" t="e">
        <f t="shared" si="4"/>
        <v>#N/A</v>
      </c>
      <c r="AT8" s="50" t="e">
        <f t="shared" si="5"/>
        <v>#N/A</v>
      </c>
      <c r="AU8" s="51" t="e">
        <f t="shared" si="6"/>
        <v>#N/A</v>
      </c>
      <c r="AV8" s="50" t="e">
        <f t="shared" si="7"/>
        <v>#N/A</v>
      </c>
      <c r="AW8" s="50" t="e">
        <f t="shared" si="15"/>
        <v>#N/A</v>
      </c>
      <c r="AX8" s="50" t="e">
        <f t="shared" si="8"/>
        <v>#N/A</v>
      </c>
      <c r="AY8" s="51" t="e">
        <f t="shared" si="9"/>
        <v>#N/A</v>
      </c>
      <c r="AZ8" s="50" t="e">
        <f t="shared" si="10"/>
        <v>#N/A</v>
      </c>
      <c r="BA8" s="50" t="e">
        <f t="shared" si="16"/>
        <v>#N/A</v>
      </c>
      <c r="BC8" s="1" t="s">
        <v>237</v>
      </c>
      <c r="BD8" s="14" t="str">
        <f t="shared" si="11"/>
        <v>CFM56-7B26/3</v>
      </c>
      <c r="BE8" s="90" t="s">
        <v>244</v>
      </c>
      <c r="BF8" s="90" t="s">
        <v>246</v>
      </c>
      <c r="BG8" s="90" t="s">
        <v>250</v>
      </c>
      <c r="BH8" s="90" t="s">
        <v>250</v>
      </c>
    </row>
    <row r="9" spans="2:61" x14ac:dyDescent="0.2">
      <c r="B9" s="76" t="s">
        <v>214</v>
      </c>
      <c r="C9" s="76"/>
      <c r="D9" s="76" t="s">
        <v>211</v>
      </c>
      <c r="E9" s="76" t="s">
        <v>2</v>
      </c>
      <c r="F9" s="76" t="s">
        <v>199</v>
      </c>
      <c r="G9" s="76"/>
      <c r="H9" s="76" t="s">
        <v>131</v>
      </c>
      <c r="I9" s="121" t="s">
        <v>132</v>
      </c>
      <c r="J9" s="121" t="s">
        <v>217</v>
      </c>
      <c r="K9" s="121" t="s">
        <v>11</v>
      </c>
      <c r="L9" s="121" t="s">
        <v>12</v>
      </c>
      <c r="M9" s="121" t="s">
        <v>13</v>
      </c>
      <c r="AC9" s="20">
        <v>1.4</v>
      </c>
      <c r="AD9" s="18">
        <f>(AD8-($AD$5-$AD$10)/5)</f>
        <v>1.2799999999999998</v>
      </c>
      <c r="AE9" s="18">
        <f>AE8-($AE$5-$AE$10)/5</f>
        <v>0.96599999999999997</v>
      </c>
      <c r="AF9" s="18">
        <f>AF8-($AF$5-$AF$10)/5</f>
        <v>1.3399999999999996</v>
      </c>
      <c r="AG9" s="18">
        <f>AG8-($AG$5-$AG$10)/5</f>
        <v>0.96599999999999997</v>
      </c>
      <c r="AH9" s="18">
        <f>AH8-($AH$5-$AH$10)/5</f>
        <v>1.2604000000000002</v>
      </c>
      <c r="AI9" s="18">
        <f>AI8-($AI$5-$AI$10)/5</f>
        <v>0.97799999999999998</v>
      </c>
      <c r="AJ9" s="18">
        <f>AJ8-($AJ$5-$AJ$10)/5</f>
        <v>1.3399999999999996</v>
      </c>
      <c r="AK9" s="18">
        <f>AK8-($AK$5-$AK$10)/5</f>
        <v>0.97799999999999998</v>
      </c>
      <c r="AL9" s="50" t="e">
        <f t="shared" si="0"/>
        <v>#N/A</v>
      </c>
      <c r="AM9" s="51" t="e">
        <f t="shared" si="1"/>
        <v>#N/A</v>
      </c>
      <c r="AN9" s="50" t="e">
        <f t="shared" si="12"/>
        <v>#N/A</v>
      </c>
      <c r="AO9" s="50" t="e">
        <f t="shared" si="13"/>
        <v>#N/A</v>
      </c>
      <c r="AP9" s="50" t="e">
        <f t="shared" si="2"/>
        <v>#N/A</v>
      </c>
      <c r="AQ9" s="51" t="e">
        <f t="shared" si="3"/>
        <v>#N/A</v>
      </c>
      <c r="AR9" s="50" t="e">
        <f t="shared" si="14"/>
        <v>#N/A</v>
      </c>
      <c r="AS9" s="50" t="e">
        <f t="shared" si="4"/>
        <v>#N/A</v>
      </c>
      <c r="AT9" s="50" t="e">
        <f t="shared" si="5"/>
        <v>#N/A</v>
      </c>
      <c r="AU9" s="51" t="e">
        <f t="shared" si="6"/>
        <v>#N/A</v>
      </c>
      <c r="AV9" s="50" t="e">
        <f t="shared" si="7"/>
        <v>#N/A</v>
      </c>
      <c r="AW9" s="50" t="e">
        <f t="shared" si="15"/>
        <v>#N/A</v>
      </c>
      <c r="AX9" s="50" t="e">
        <f t="shared" si="8"/>
        <v>#N/A</v>
      </c>
      <c r="AY9" s="51" t="e">
        <f t="shared" si="9"/>
        <v>#N/A</v>
      </c>
      <c r="AZ9" s="50" t="e">
        <f t="shared" si="10"/>
        <v>#N/A</v>
      </c>
      <c r="BA9" s="50" t="e">
        <f t="shared" si="16"/>
        <v>#N/A</v>
      </c>
      <c r="BC9" s="8"/>
      <c r="BD9" s="14" t="str">
        <f t="shared" si="11"/>
        <v>CFM56-7B27/P</v>
      </c>
      <c r="BE9" s="90" t="s">
        <v>245</v>
      </c>
      <c r="BF9" s="90" t="s">
        <v>247</v>
      </c>
      <c r="BG9" s="90" t="s">
        <v>251</v>
      </c>
      <c r="BH9" s="90" t="s">
        <v>251</v>
      </c>
    </row>
    <row r="10" spans="2:61" x14ac:dyDescent="0.2">
      <c r="B10" s="491" t="s">
        <v>212</v>
      </c>
      <c r="C10" s="13"/>
      <c r="D10" s="490" t="str">
        <f>B6</f>
        <v>737-800</v>
      </c>
      <c r="E10" s="490" t="s">
        <v>191</v>
      </c>
      <c r="F10" s="488" t="s">
        <v>233</v>
      </c>
      <c r="G10" s="118"/>
      <c r="H10" s="487" t="s">
        <v>215</v>
      </c>
      <c r="I10" s="492">
        <v>1</v>
      </c>
      <c r="J10" s="505" t="e">
        <f>IF(B10=" Airframe",TEXT(VLOOKUP($B$6&amp;E10,SOURCE!$D$5:$Q$42,8,FALSE),"0,0")&amp;"  -  "&amp;TEXT(VLOOKUP($B$6&amp;E10,SOURCE!$D$5:$Q$42,9,FALSE),"0,0"),"")</f>
        <v>#N/A</v>
      </c>
      <c r="K10" s="504" t="e">
        <f>TEXT(SOURCE!#REF!,"0")</f>
        <v>#REF!</v>
      </c>
      <c r="L10" s="505" t="e">
        <f>TEXT(SOURCE!#REF!,"0")</f>
        <v>#REF!</v>
      </c>
      <c r="M10" s="505" t="e">
        <f>L10</f>
        <v>#REF!</v>
      </c>
      <c r="AC10" s="59">
        <v>1.5</v>
      </c>
      <c r="AD10" s="60">
        <f>SOURCE!BL7</f>
        <v>1.2</v>
      </c>
      <c r="AE10" s="60">
        <f>SOURCE!BM7</f>
        <v>0.97</v>
      </c>
      <c r="AF10" s="60">
        <f>SOURCE!BN7</f>
        <v>1.25</v>
      </c>
      <c r="AG10" s="60">
        <f>SOURCE!BO7</f>
        <v>0.97</v>
      </c>
      <c r="AH10" s="60">
        <f>SOURCE!BP7</f>
        <v>1.165</v>
      </c>
      <c r="AI10" s="60">
        <f>SOURCE!BQ7</f>
        <v>0.98</v>
      </c>
      <c r="AJ10" s="60">
        <f>SOURCE!BR7</f>
        <v>1.25</v>
      </c>
      <c r="AK10" s="60">
        <f>SOURCE!BS7</f>
        <v>0.98</v>
      </c>
      <c r="AL10" s="50" t="e">
        <f t="shared" si="0"/>
        <v>#N/A</v>
      </c>
      <c r="AM10" s="51" t="e">
        <f t="shared" si="1"/>
        <v>#N/A</v>
      </c>
      <c r="AN10" s="50" t="e">
        <f t="shared" si="12"/>
        <v>#N/A</v>
      </c>
      <c r="AO10" s="50" t="e">
        <f t="shared" si="13"/>
        <v>#N/A</v>
      </c>
      <c r="AP10" s="50" t="e">
        <f t="shared" si="2"/>
        <v>#N/A</v>
      </c>
      <c r="AQ10" s="51" t="e">
        <f t="shared" si="3"/>
        <v>#N/A</v>
      </c>
      <c r="AR10" s="50" t="e">
        <f t="shared" si="14"/>
        <v>#N/A</v>
      </c>
      <c r="AS10" s="50" t="e">
        <f t="shared" si="4"/>
        <v>#N/A</v>
      </c>
      <c r="AT10" s="50" t="e">
        <f t="shared" si="5"/>
        <v>#N/A</v>
      </c>
      <c r="AU10" s="51" t="e">
        <f t="shared" si="6"/>
        <v>#N/A</v>
      </c>
      <c r="AV10" s="50" t="e">
        <f t="shared" si="7"/>
        <v>#N/A</v>
      </c>
      <c r="AW10" s="50" t="e">
        <f t="shared" si="15"/>
        <v>#N/A</v>
      </c>
      <c r="AX10" s="50" t="e">
        <f t="shared" si="8"/>
        <v>#N/A</v>
      </c>
      <c r="AY10" s="51" t="e">
        <f t="shared" si="9"/>
        <v>#N/A</v>
      </c>
      <c r="AZ10" s="50" t="e">
        <f t="shared" si="10"/>
        <v>#N/A</v>
      </c>
      <c r="BA10" s="50" t="e">
        <f t="shared" si="16"/>
        <v>#N/A</v>
      </c>
      <c r="BC10" s="8"/>
      <c r="BD10" s="14" t="str">
        <f t="shared" si="11"/>
        <v>CFM56-7B27/3</v>
      </c>
      <c r="BE10" s="90" t="s">
        <v>246</v>
      </c>
      <c r="BF10" s="90" t="s">
        <v>248</v>
      </c>
      <c r="BG10" s="90" t="s">
        <v>252</v>
      </c>
      <c r="BH10" s="90" t="s">
        <v>252</v>
      </c>
    </row>
    <row r="11" spans="2:61" x14ac:dyDescent="0.2">
      <c r="B11" s="491"/>
      <c r="C11" s="13"/>
      <c r="D11" s="487"/>
      <c r="E11" s="487"/>
      <c r="F11" s="489"/>
      <c r="G11" s="114"/>
      <c r="H11" s="487"/>
      <c r="I11" s="493"/>
      <c r="J11" s="501"/>
      <c r="K11" s="501"/>
      <c r="L11" s="501"/>
      <c r="M11" s="501"/>
      <c r="AC11" s="20">
        <v>1.6</v>
      </c>
      <c r="AD11" s="18">
        <f>AD10-($AD$10-$AD$13)/3</f>
        <v>1.1599999999999999</v>
      </c>
      <c r="AE11" s="18">
        <f>AE10-($AE$10-$AE$13)/3</f>
        <v>0.97333333333333327</v>
      </c>
      <c r="AF11" s="18">
        <f>AF10-($AF$10-$AF$13)/3</f>
        <v>1.2</v>
      </c>
      <c r="AG11" s="18">
        <f>AG10-($AG$10-$AG$13)/3</f>
        <v>0.97333333333333327</v>
      </c>
      <c r="AH11" s="18">
        <f>AH10-($AH$10-$AH$13)/3</f>
        <v>1.1308333333333334</v>
      </c>
      <c r="AI11" s="18">
        <f>AI10-($AI$10-$AI$13)/3</f>
        <v>0.98333333333333328</v>
      </c>
      <c r="AJ11" s="18">
        <f>AJ10-($AJ$10-$AJ$13)/3</f>
        <v>1.2</v>
      </c>
      <c r="AK11" s="18">
        <f>AK10-($AK$10-$AK$13)/3</f>
        <v>0.98333333333333328</v>
      </c>
      <c r="AL11" s="50" t="e">
        <f t="shared" si="0"/>
        <v>#N/A</v>
      </c>
      <c r="AM11" s="51" t="e">
        <f t="shared" si="1"/>
        <v>#N/A</v>
      </c>
      <c r="AN11" s="50" t="e">
        <f t="shared" si="12"/>
        <v>#N/A</v>
      </c>
      <c r="AO11" s="50" t="e">
        <f t="shared" si="13"/>
        <v>#N/A</v>
      </c>
      <c r="AP11" s="50" t="e">
        <f t="shared" si="2"/>
        <v>#N/A</v>
      </c>
      <c r="AQ11" s="51" t="e">
        <f t="shared" si="3"/>
        <v>#N/A</v>
      </c>
      <c r="AR11" s="50" t="e">
        <f t="shared" si="14"/>
        <v>#N/A</v>
      </c>
      <c r="AS11" s="50" t="e">
        <f t="shared" si="4"/>
        <v>#N/A</v>
      </c>
      <c r="AT11" s="50" t="e">
        <f t="shared" si="5"/>
        <v>#N/A</v>
      </c>
      <c r="AU11" s="51" t="e">
        <f t="shared" si="6"/>
        <v>#N/A</v>
      </c>
      <c r="AV11" s="50" t="e">
        <f t="shared" si="7"/>
        <v>#N/A</v>
      </c>
      <c r="AW11" s="50" t="e">
        <f t="shared" si="15"/>
        <v>#N/A</v>
      </c>
      <c r="AX11" s="50" t="e">
        <f t="shared" si="8"/>
        <v>#N/A</v>
      </c>
      <c r="AY11" s="51" t="e">
        <f t="shared" si="9"/>
        <v>#N/A</v>
      </c>
      <c r="AZ11" s="50" t="e">
        <f t="shared" si="10"/>
        <v>#N/A</v>
      </c>
      <c r="BA11" s="50" t="e">
        <f t="shared" si="16"/>
        <v>#N/A</v>
      </c>
      <c r="BC11" s="8"/>
      <c r="BD11" s="8"/>
      <c r="BE11" s="8"/>
      <c r="BF11" s="8"/>
      <c r="BG11" s="8"/>
      <c r="BH11" s="8"/>
    </row>
    <row r="12" spans="2:61" x14ac:dyDescent="0.2">
      <c r="B12" s="495" t="s">
        <v>212</v>
      </c>
      <c r="C12" s="74"/>
      <c r="D12" s="497" t="str">
        <f>B6</f>
        <v>737-800</v>
      </c>
      <c r="E12" s="497" t="s">
        <v>190</v>
      </c>
      <c r="F12" s="500" t="s">
        <v>200</v>
      </c>
      <c r="G12" s="120"/>
      <c r="H12" s="74" t="s">
        <v>5</v>
      </c>
      <c r="I12" s="494">
        <v>1</v>
      </c>
      <c r="J12" s="85" t="e">
        <f>IF(B12=" Airframe",TEXT(VLOOKUP($B$6&amp;E12,SOURCE!$D$5:$Q$42,8,FALSE),"0,0")&amp;"  -  "&amp;TEXT(VLOOKUP($B$6&amp;E12,SOURCE!$D$5:$Q$42,9,FALSE),"0,0"),"")</f>
        <v>#N/A</v>
      </c>
      <c r="K12" s="502" t="e">
        <f>TEXT(SOURCE!#REF!,"0")</f>
        <v>#REF!</v>
      </c>
      <c r="L12" s="502" t="e">
        <f>TEXT(SOURCE!#REF!,"0,0")</f>
        <v>#REF!</v>
      </c>
      <c r="M12" s="502" t="e">
        <f>TEXT(SOURCE!#REF!,"0,0")</f>
        <v>#REF!</v>
      </c>
      <c r="AC12" s="51">
        <v>1.7</v>
      </c>
      <c r="AD12" s="18">
        <f>AD11-($AD$10-$AD$13)/3</f>
        <v>1.1199999999999999</v>
      </c>
      <c r="AE12" s="18">
        <f>AE11-($AE$10-$AE$13)/3</f>
        <v>0.97666666666666657</v>
      </c>
      <c r="AF12" s="18">
        <f>AF11-($AF$10-$AF$13)/3</f>
        <v>1.1499999999999999</v>
      </c>
      <c r="AG12" s="18">
        <f>AG11-($AG$10-$AG$13)/3</f>
        <v>0.97666666666666657</v>
      </c>
      <c r="AH12" s="18">
        <f>AH11-($AH$10-$AH$13)/3</f>
        <v>1.0966666666666667</v>
      </c>
      <c r="AI12" s="18">
        <f>AI11-($AI$10-$AI$13)/3</f>
        <v>0.98666666666666658</v>
      </c>
      <c r="AJ12" s="18">
        <f>AJ11-($AJ$10-$AJ$13)/3</f>
        <v>1.1499999999999999</v>
      </c>
      <c r="AK12" s="18">
        <f>AK11-($AK$10-$AK$13)/3</f>
        <v>0.98666666666666658</v>
      </c>
      <c r="AL12" s="50" t="e">
        <f t="shared" si="0"/>
        <v>#N/A</v>
      </c>
      <c r="AM12" s="51" t="e">
        <f t="shared" si="1"/>
        <v>#N/A</v>
      </c>
      <c r="AN12" s="50" t="e">
        <f t="shared" si="12"/>
        <v>#N/A</v>
      </c>
      <c r="AO12" s="50" t="e">
        <f t="shared" si="13"/>
        <v>#N/A</v>
      </c>
      <c r="AP12" s="50" t="e">
        <f t="shared" si="2"/>
        <v>#N/A</v>
      </c>
      <c r="AQ12" s="51" t="e">
        <f t="shared" si="3"/>
        <v>#N/A</v>
      </c>
      <c r="AR12" s="50" t="e">
        <f t="shared" si="14"/>
        <v>#N/A</v>
      </c>
      <c r="AS12" s="50" t="e">
        <f t="shared" si="4"/>
        <v>#N/A</v>
      </c>
      <c r="AT12" s="50" t="e">
        <f t="shared" si="5"/>
        <v>#N/A</v>
      </c>
      <c r="AU12" s="51" t="e">
        <f t="shared" si="6"/>
        <v>#N/A</v>
      </c>
      <c r="AV12" s="50" t="e">
        <f t="shared" si="7"/>
        <v>#N/A</v>
      </c>
      <c r="AW12" s="50" t="e">
        <f t="shared" si="15"/>
        <v>#N/A</v>
      </c>
      <c r="AX12" s="50" t="e">
        <f t="shared" si="8"/>
        <v>#N/A</v>
      </c>
      <c r="AY12" s="51" t="e">
        <f t="shared" si="9"/>
        <v>#N/A</v>
      </c>
      <c r="AZ12" s="50" t="e">
        <f t="shared" si="10"/>
        <v>#N/A</v>
      </c>
      <c r="BA12" s="50" t="e">
        <f t="shared" si="16"/>
        <v>#N/A</v>
      </c>
      <c r="BC12" s="8"/>
      <c r="BD12" s="8"/>
      <c r="BE12" s="8"/>
      <c r="BF12" s="8"/>
      <c r="BG12" s="8"/>
      <c r="BH12" s="8"/>
    </row>
    <row r="13" spans="2:61" ht="12" customHeight="1" x14ac:dyDescent="0.2">
      <c r="B13" s="495"/>
      <c r="C13" s="74"/>
      <c r="D13" s="497"/>
      <c r="E13" s="497"/>
      <c r="F13" s="500"/>
      <c r="G13" s="120"/>
      <c r="H13" s="74" t="s">
        <v>6</v>
      </c>
      <c r="I13" s="494"/>
      <c r="J13" s="85" t="e">
        <f>IF(B12=" Airframe",TEXT(VLOOKUP($B$6&amp;E12,SOURCE!$D$5:$Q$42,13,FALSE),"0,0")&amp;"  -  "&amp;TEXT(VLOOKUP($B$6&amp;E12,SOURCE!$D$5:$Q$42,14,FALSE),"0,0"),"")</f>
        <v>#N/A</v>
      </c>
      <c r="K13" s="502"/>
      <c r="L13" s="502"/>
      <c r="M13" s="502"/>
      <c r="AC13" s="59">
        <v>1.75</v>
      </c>
      <c r="AD13" s="61">
        <f>SOURCE!BL8</f>
        <v>1.08</v>
      </c>
      <c r="AE13" s="61">
        <f>SOURCE!BM8</f>
        <v>0.98</v>
      </c>
      <c r="AF13" s="61">
        <f>SOURCE!BN8</f>
        <v>1.1000000000000001</v>
      </c>
      <c r="AG13" s="61">
        <f>SOURCE!BO8</f>
        <v>0.98</v>
      </c>
      <c r="AH13" s="60">
        <f>SOURCE!BP8</f>
        <v>1.0625</v>
      </c>
      <c r="AI13" s="60">
        <f>SOURCE!BQ8</f>
        <v>0.99</v>
      </c>
      <c r="AJ13" s="60">
        <f>SOURCE!BR8</f>
        <v>1.1000000000000001</v>
      </c>
      <c r="AK13" s="60">
        <f>SOURCE!BS8</f>
        <v>0.99</v>
      </c>
      <c r="AL13" s="62" t="e">
        <f>VLOOKUP($D$6,SOURCE!AH5:AX49,6,FALSE)*AE13</f>
        <v>#N/A</v>
      </c>
      <c r="AM13" s="63" t="e">
        <f>VLOOKUP($D$6,SOURCE!AH5:AX49,7,FALSE)*AD13</f>
        <v>#N/A</v>
      </c>
      <c r="AN13" s="64" t="e">
        <f>AO13/AC13</f>
        <v>#N/A</v>
      </c>
      <c r="AO13" s="64" t="e">
        <f t="shared" si="13"/>
        <v>#N/A</v>
      </c>
      <c r="AP13" s="62" t="e">
        <f>VLOOKUP($D$6,SOURCE!AH5:AX49,9,FALSE)*AG13</f>
        <v>#N/A</v>
      </c>
      <c r="AQ13" s="63" t="e">
        <f>AP13/(10000*AC13)</f>
        <v>#N/A</v>
      </c>
      <c r="AR13" s="62" t="e">
        <f t="shared" si="14"/>
        <v>#N/A</v>
      </c>
      <c r="AS13" s="62" t="e">
        <f t="shared" si="4"/>
        <v>#N/A</v>
      </c>
      <c r="AT13" s="50" t="e">
        <f t="shared" si="5"/>
        <v>#N/A</v>
      </c>
      <c r="AU13" s="51" t="e">
        <f t="shared" si="6"/>
        <v>#N/A</v>
      </c>
      <c r="AV13" s="50" t="e">
        <f t="shared" si="7"/>
        <v>#N/A</v>
      </c>
      <c r="AW13" s="50" t="e">
        <f t="shared" si="15"/>
        <v>#N/A</v>
      </c>
      <c r="AX13" s="50" t="e">
        <f t="shared" si="8"/>
        <v>#N/A</v>
      </c>
      <c r="AY13" s="51" t="e">
        <f t="shared" si="9"/>
        <v>#N/A</v>
      </c>
      <c r="AZ13" s="50" t="e">
        <f t="shared" si="10"/>
        <v>#N/A</v>
      </c>
      <c r="BA13" s="50" t="e">
        <f t="shared" si="16"/>
        <v>#N/A</v>
      </c>
      <c r="BC13" s="8"/>
      <c r="BD13" s="8"/>
      <c r="BE13" s="8"/>
      <c r="BF13" s="8"/>
      <c r="BG13" s="8"/>
      <c r="BH13" s="8"/>
    </row>
    <row r="14" spans="2:61" x14ac:dyDescent="0.2">
      <c r="B14" s="491" t="s">
        <v>212</v>
      </c>
      <c r="C14" s="13"/>
      <c r="D14" s="487" t="str">
        <f>B6</f>
        <v>737-800</v>
      </c>
      <c r="E14" s="487" t="s">
        <v>189</v>
      </c>
      <c r="F14" s="498" t="s">
        <v>201</v>
      </c>
      <c r="G14" s="119"/>
      <c r="H14" s="13" t="s">
        <v>5</v>
      </c>
      <c r="I14" s="493">
        <v>1</v>
      </c>
      <c r="J14" s="14" t="e">
        <f>IF(B14=" Airframe",TEXT(VLOOKUP($B$6&amp;E14,SOURCE!$D$5:$Q$42,8,FALSE),"0,0")&amp;"  -  "&amp;TEXT(VLOOKUP($B$6&amp;E14,SOURCE!$D$5:$Q$42,9,FALSE),"0,0"),"")</f>
        <v>#N/A</v>
      </c>
      <c r="K14" s="501" t="str">
        <f>TEXT(SOURCE!E5,"0")</f>
        <v>4</v>
      </c>
      <c r="L14" s="501" t="str">
        <f>TEXT(SOURCE!F5,"0,0")</f>
        <v>750</v>
      </c>
      <c r="M14" s="501" t="str">
        <f>TEXT(SOURCE!G5,"0,0")</f>
        <v>750</v>
      </c>
      <c r="AC14" s="20">
        <v>1.8</v>
      </c>
      <c r="AD14" s="18">
        <f>AD12-($AD$12-$AD$16)/3</f>
        <v>1.0799999999999998</v>
      </c>
      <c r="AE14" s="18">
        <f>AE12-($AE$12-$AE$16)/3</f>
        <v>0.98444444444444434</v>
      </c>
      <c r="AF14" s="18">
        <f>AF12-($AF$12-$AF$16)/3</f>
        <v>1.0999999999999999</v>
      </c>
      <c r="AG14" s="18">
        <f>AG12-($AG$12-$AG$16)/3</f>
        <v>0.98444444444444434</v>
      </c>
      <c r="AH14" s="18">
        <f>AH12-($AH$12-$AH$16)/3</f>
        <v>1.0644444444444445</v>
      </c>
      <c r="AI14" s="18">
        <f>AI12-($AI$12-$AI$16)/3</f>
        <v>0.99111111111111105</v>
      </c>
      <c r="AJ14" s="18">
        <f>AJ12-($AJ$12-$AJ$16)/3</f>
        <v>1.0999999999999999</v>
      </c>
      <c r="AK14" s="18">
        <f>AK12-($AK$12-$AK$16)/3</f>
        <v>0.99111111111111105</v>
      </c>
      <c r="AL14" s="50" t="e">
        <f t="shared" ref="AL14:AL46" si="17">$AL$13*AE14</f>
        <v>#N/A</v>
      </c>
      <c r="AM14" s="51" t="e">
        <f t="shared" ref="AM14:AM46" si="18">$AM$13*AD14</f>
        <v>#N/A</v>
      </c>
      <c r="AN14" s="50" t="e">
        <f t="shared" ref="AN14:AN46" si="19">AO14/AC14</f>
        <v>#N/A</v>
      </c>
      <c r="AO14" s="50" t="e">
        <f t="shared" si="13"/>
        <v>#N/A</v>
      </c>
      <c r="AP14" s="50" t="e">
        <f t="shared" ref="AP14:AP46" si="20">$AP$13*AG14</f>
        <v>#N/A</v>
      </c>
      <c r="AQ14" s="51" t="e">
        <f t="shared" ref="AQ14:AQ46" si="21">$AQ$13*AF14</f>
        <v>#N/A</v>
      </c>
      <c r="AR14" s="50" t="e">
        <f t="shared" si="14"/>
        <v>#N/A</v>
      </c>
      <c r="AS14" s="50" t="e">
        <f t="shared" si="4"/>
        <v>#N/A</v>
      </c>
      <c r="AT14" s="50" t="e">
        <f t="shared" si="5"/>
        <v>#N/A</v>
      </c>
      <c r="AU14" s="51" t="e">
        <f t="shared" si="6"/>
        <v>#N/A</v>
      </c>
      <c r="AV14" s="50" t="e">
        <f t="shared" si="7"/>
        <v>#N/A</v>
      </c>
      <c r="AW14" s="50" t="e">
        <f t="shared" si="15"/>
        <v>#N/A</v>
      </c>
      <c r="AX14" s="50" t="e">
        <f t="shared" si="8"/>
        <v>#N/A</v>
      </c>
      <c r="AY14" s="51" t="e">
        <f t="shared" si="9"/>
        <v>#N/A</v>
      </c>
      <c r="AZ14" s="50" t="e">
        <f t="shared" si="10"/>
        <v>#N/A</v>
      </c>
      <c r="BA14" s="50" t="e">
        <f t="shared" si="16"/>
        <v>#N/A</v>
      </c>
      <c r="BC14" s="8"/>
      <c r="BD14" s="8"/>
      <c r="BE14" s="8"/>
      <c r="BF14" s="8"/>
      <c r="BG14" s="8"/>
      <c r="BH14" s="8"/>
    </row>
    <row r="15" spans="2:61" x14ac:dyDescent="0.2">
      <c r="B15" s="491"/>
      <c r="C15" s="13"/>
      <c r="D15" s="487"/>
      <c r="E15" s="487"/>
      <c r="F15" s="498"/>
      <c r="G15" s="119"/>
      <c r="H15" s="13" t="s">
        <v>6</v>
      </c>
      <c r="I15" s="493"/>
      <c r="J15" s="14" t="e">
        <f>IF(B14=" Airframe",TEXT(VLOOKUP($B$6&amp;E14,SOURCE!$D$5:$Q$42,13,FALSE),"0,0")&amp;"  -  "&amp;TEXT(VLOOKUP($B$6&amp;E14,SOURCE!$D$5:$Q$42,14,FALSE),"0,0"),"")</f>
        <v>#N/A</v>
      </c>
      <c r="K15" s="501"/>
      <c r="L15" s="501"/>
      <c r="M15" s="501"/>
      <c r="AC15" s="20">
        <v>1.9</v>
      </c>
      <c r="AD15" s="18">
        <f>AD14-($AD$12-$AD$16)/3</f>
        <v>1.0399999999999998</v>
      </c>
      <c r="AE15" s="18">
        <f>AE14-($AE$12-$AE$16)/3</f>
        <v>0.99222222222222212</v>
      </c>
      <c r="AF15" s="18">
        <f>AF14-($AF$12-$AF$16)/3</f>
        <v>1.0499999999999998</v>
      </c>
      <c r="AG15" s="18">
        <f>AG14-($AG$12-$AG$16)/3</f>
        <v>0.99222222222222212</v>
      </c>
      <c r="AH15" s="18">
        <f>AH14-($AH$12-$AH$16)/3</f>
        <v>1.0322222222222224</v>
      </c>
      <c r="AI15" s="18">
        <f>AI14-($AI$12-$AI$16)/3</f>
        <v>0.99555555555555553</v>
      </c>
      <c r="AJ15" s="18">
        <f>AJ14-($AJ$12-$AJ$16)/3</f>
        <v>1.0499999999999998</v>
      </c>
      <c r="AK15" s="18">
        <f>AK14-($AK$12-$AK$16)/3</f>
        <v>0.99555555555555553</v>
      </c>
      <c r="AL15" s="50" t="e">
        <f t="shared" si="17"/>
        <v>#N/A</v>
      </c>
      <c r="AM15" s="51" t="e">
        <f t="shared" si="18"/>
        <v>#N/A</v>
      </c>
      <c r="AN15" s="50" t="e">
        <f t="shared" si="19"/>
        <v>#N/A</v>
      </c>
      <c r="AO15" s="50" t="e">
        <f t="shared" si="13"/>
        <v>#N/A</v>
      </c>
      <c r="AP15" s="50" t="e">
        <f t="shared" si="20"/>
        <v>#N/A</v>
      </c>
      <c r="AQ15" s="51" t="e">
        <f t="shared" si="21"/>
        <v>#N/A</v>
      </c>
      <c r="AR15" s="50" t="e">
        <f t="shared" si="14"/>
        <v>#N/A</v>
      </c>
      <c r="AS15" s="50" t="e">
        <f t="shared" si="4"/>
        <v>#N/A</v>
      </c>
      <c r="AT15" s="50" t="e">
        <f t="shared" si="5"/>
        <v>#N/A</v>
      </c>
      <c r="AU15" s="51" t="e">
        <f t="shared" si="6"/>
        <v>#N/A</v>
      </c>
      <c r="AV15" s="50" t="e">
        <f t="shared" si="7"/>
        <v>#N/A</v>
      </c>
      <c r="AW15" s="50" t="e">
        <f t="shared" si="15"/>
        <v>#N/A</v>
      </c>
      <c r="AX15" s="50" t="e">
        <f t="shared" si="8"/>
        <v>#N/A</v>
      </c>
      <c r="AY15" s="51" t="e">
        <f t="shared" si="9"/>
        <v>#N/A</v>
      </c>
      <c r="AZ15" s="50" t="e">
        <f t="shared" si="10"/>
        <v>#N/A</v>
      </c>
      <c r="BA15" s="50" t="e">
        <f t="shared" si="16"/>
        <v>#N/A</v>
      </c>
      <c r="BC15" s="8"/>
      <c r="BD15" s="8"/>
      <c r="BE15" s="8"/>
      <c r="BF15" s="8"/>
      <c r="BG15" s="8"/>
      <c r="BH15" s="8"/>
    </row>
    <row r="16" spans="2:61" x14ac:dyDescent="0.2">
      <c r="B16" s="495" t="s">
        <v>212</v>
      </c>
      <c r="C16" s="74"/>
      <c r="D16" s="497" t="str">
        <f>B6</f>
        <v>737-800</v>
      </c>
      <c r="E16" s="497" t="s">
        <v>238</v>
      </c>
      <c r="F16" s="499" t="s">
        <v>255</v>
      </c>
      <c r="G16" s="113"/>
      <c r="H16" s="74" t="s">
        <v>5</v>
      </c>
      <c r="I16" s="494">
        <v>1</v>
      </c>
      <c r="J16" s="85" t="e">
        <f>IF(B16=" Airframe",TEXT(VLOOKUP($B$6&amp;E16,SOURCE!$D$5:$Q$42,8,FALSE),"0,0")&amp;"  -  "&amp;TEXT(VLOOKUP($B$6&amp;E16,SOURCE!$D$5:$Q$42,9,FALSE),"0,0"),"")</f>
        <v>#N/A</v>
      </c>
      <c r="K16" s="502" t="str">
        <f>TEXT(SOURCE!E6,"0")</f>
        <v>18</v>
      </c>
      <c r="L16" s="502"/>
      <c r="M16" s="502"/>
      <c r="AC16" s="59">
        <v>2</v>
      </c>
      <c r="AD16" s="60">
        <f>SOURCE!BL9</f>
        <v>1</v>
      </c>
      <c r="AE16" s="60">
        <f>SOURCE!BM9</f>
        <v>1</v>
      </c>
      <c r="AF16" s="60">
        <f>SOURCE!BN9</f>
        <v>1</v>
      </c>
      <c r="AG16" s="60">
        <f>SOURCE!BO9</f>
        <v>1</v>
      </c>
      <c r="AH16" s="61">
        <f>SOURCE!BP9</f>
        <v>1</v>
      </c>
      <c r="AI16" s="61">
        <f>SOURCE!BQ9</f>
        <v>1</v>
      </c>
      <c r="AJ16" s="61">
        <f>SOURCE!BR9</f>
        <v>1</v>
      </c>
      <c r="AK16" s="61">
        <f>SOURCE!BS9</f>
        <v>1</v>
      </c>
      <c r="AL16" s="50" t="e">
        <f t="shared" si="17"/>
        <v>#N/A</v>
      </c>
      <c r="AM16" s="51" t="e">
        <f t="shared" si="18"/>
        <v>#N/A</v>
      </c>
      <c r="AN16" s="50" t="e">
        <f t="shared" si="19"/>
        <v>#N/A</v>
      </c>
      <c r="AO16" s="50" t="e">
        <f t="shared" si="13"/>
        <v>#N/A</v>
      </c>
      <c r="AP16" s="50" t="e">
        <f t="shared" si="20"/>
        <v>#N/A</v>
      </c>
      <c r="AQ16" s="51" t="e">
        <f t="shared" si="21"/>
        <v>#N/A</v>
      </c>
      <c r="AR16" s="50" t="e">
        <f t="shared" si="14"/>
        <v>#N/A</v>
      </c>
      <c r="AS16" s="50" t="e">
        <f t="shared" si="4"/>
        <v>#N/A</v>
      </c>
      <c r="AT16" s="64" t="e">
        <f>VLOOKUP($D$6,SOURCE!AH5:AX49,6,FALSE)*AI16</f>
        <v>#N/A</v>
      </c>
      <c r="AU16" s="65" t="e">
        <f>VLOOKUP($D$6,SOURCE!AH5:AX49,7,FALSE)*AH16</f>
        <v>#N/A</v>
      </c>
      <c r="AV16" s="64" t="e">
        <f t="shared" si="7"/>
        <v>#N/A</v>
      </c>
      <c r="AW16" s="64" t="e">
        <f t="shared" si="15"/>
        <v>#N/A</v>
      </c>
      <c r="AX16" s="64" t="e">
        <f>VLOOKUP($D$6,SOURCE!AH5:AX49,9,FALSE)*AK16</f>
        <v>#N/A</v>
      </c>
      <c r="AY16" s="65" t="e">
        <f>AX16/(8000*AC16)</f>
        <v>#N/A</v>
      </c>
      <c r="AZ16" s="64" t="e">
        <f t="shared" si="10"/>
        <v>#N/A</v>
      </c>
      <c r="BA16" s="64" t="e">
        <f t="shared" si="16"/>
        <v>#N/A</v>
      </c>
      <c r="BC16" s="25"/>
      <c r="BD16" s="23"/>
      <c r="BE16" s="8"/>
      <c r="BF16" s="8"/>
      <c r="BG16" s="8"/>
      <c r="BH16" s="8"/>
    </row>
    <row r="17" spans="2:60" x14ac:dyDescent="0.2">
      <c r="B17" s="495"/>
      <c r="C17" s="74"/>
      <c r="D17" s="497"/>
      <c r="E17" s="497"/>
      <c r="F17" s="499"/>
      <c r="G17" s="113"/>
      <c r="H17" s="74" t="s">
        <v>6</v>
      </c>
      <c r="I17" s="494"/>
      <c r="J17" s="85" t="e">
        <f>IF(B16=" Airframe",TEXT(VLOOKUP($B$6&amp;E16,SOURCE!$D$5:$Q$42,13,FALSE),"0,0")&amp;"  - "&amp;TEXT(VLOOKUP($B$6&amp;E16,SOURCE!$D$5:$Q$42,14,FALSE),"0,0"),"")</f>
        <v>#N/A</v>
      </c>
      <c r="K17" s="502"/>
      <c r="L17" s="502"/>
      <c r="M17" s="502"/>
      <c r="AC17" s="20">
        <v>2.1</v>
      </c>
      <c r="AD17" s="18">
        <f>AD16-($AD$16-$AD$21)/5</f>
        <v>0.98899999999999999</v>
      </c>
      <c r="AE17" s="18">
        <f>AE16-($AE$16-$AE$21)/5</f>
        <v>1.006</v>
      </c>
      <c r="AF17" s="18">
        <f>AF16-($AF$16-$AF$21)/5</f>
        <v>0.98899999999999999</v>
      </c>
      <c r="AG17" s="18">
        <f>AG16-($AG$16-$AG$21)/5</f>
        <v>1.006</v>
      </c>
      <c r="AH17" s="18">
        <f>AH16-($AH$16-$AH$21)/5</f>
        <v>0.98899999999999999</v>
      </c>
      <c r="AI17" s="18">
        <f>AI16-($AI$16-$AI$21)/5</f>
        <v>1.004</v>
      </c>
      <c r="AJ17" s="18">
        <f>AJ16-($AJ$16-$AJ$21)/5</f>
        <v>0.98899999999999999</v>
      </c>
      <c r="AK17" s="18">
        <f>AK16-($AK$16-$AK$21)/5</f>
        <v>1.004</v>
      </c>
      <c r="AL17" s="50" t="e">
        <f t="shared" si="17"/>
        <v>#N/A</v>
      </c>
      <c r="AM17" s="51" t="e">
        <f t="shared" si="18"/>
        <v>#N/A</v>
      </c>
      <c r="AN17" s="50" t="e">
        <f t="shared" si="19"/>
        <v>#N/A</v>
      </c>
      <c r="AO17" s="50" t="e">
        <f t="shared" si="13"/>
        <v>#N/A</v>
      </c>
      <c r="AP17" s="50" t="e">
        <f t="shared" si="20"/>
        <v>#N/A</v>
      </c>
      <c r="AQ17" s="51" t="e">
        <f t="shared" si="21"/>
        <v>#N/A</v>
      </c>
      <c r="AR17" s="50" t="e">
        <f t="shared" si="14"/>
        <v>#N/A</v>
      </c>
      <c r="AS17" s="50" t="e">
        <f t="shared" si="4"/>
        <v>#N/A</v>
      </c>
      <c r="AT17" s="50" t="e">
        <f t="shared" ref="AT17:AT46" si="22">$AT$16*AI17</f>
        <v>#N/A</v>
      </c>
      <c r="AU17" s="51" t="e">
        <f t="shared" ref="AU17:AU46" si="23">$AU$16*AH17</f>
        <v>#N/A</v>
      </c>
      <c r="AV17" s="50" t="e">
        <f t="shared" si="7"/>
        <v>#N/A</v>
      </c>
      <c r="AW17" s="50" t="e">
        <f t="shared" si="15"/>
        <v>#N/A</v>
      </c>
      <c r="AX17" s="50" t="e">
        <f t="shared" ref="AX17:AX46" si="24">$AX$16*AK17</f>
        <v>#N/A</v>
      </c>
      <c r="AY17" s="51" t="e">
        <f t="shared" ref="AY17:AY46" si="25">$AY$16*AJ17</f>
        <v>#N/A</v>
      </c>
      <c r="AZ17" s="50" t="e">
        <f t="shared" si="10"/>
        <v>#N/A</v>
      </c>
      <c r="BA17" s="50" t="e">
        <f t="shared" si="16"/>
        <v>#N/A</v>
      </c>
      <c r="BC17" s="25"/>
      <c r="BD17" s="23"/>
      <c r="BE17" s="8"/>
      <c r="BF17" s="8"/>
      <c r="BG17" s="8"/>
      <c r="BH17" s="8"/>
    </row>
    <row r="18" spans="2:60" x14ac:dyDescent="0.2">
      <c r="B18" s="491" t="s">
        <v>212</v>
      </c>
      <c r="C18" s="13"/>
      <c r="D18" s="487" t="str">
        <f>B6</f>
        <v>737-800</v>
      </c>
      <c r="E18" s="487" t="s">
        <v>239</v>
      </c>
      <c r="F18" s="496" t="s">
        <v>256</v>
      </c>
      <c r="G18" s="118"/>
      <c r="H18" s="13" t="s">
        <v>5</v>
      </c>
      <c r="I18" s="493">
        <v>1</v>
      </c>
      <c r="J18" s="14" t="e">
        <f>IF(B18=" Airframe",TEXT(VLOOKUP($B$6&amp;E18,SOURCE!$D$5:$Q$42,8,FALSE),"0,0")&amp;"  -  "&amp;TEXT(VLOOKUP($B$6&amp;E18,SOURCE!$D$5:$Q$42,9,FALSE),"0,0"),"")</f>
        <v>#N/A</v>
      </c>
      <c r="K18" s="501" t="str">
        <f>TEXT(SOURCE!E7,"0")</f>
        <v>18</v>
      </c>
      <c r="L18" s="501"/>
      <c r="M18" s="501"/>
      <c r="AC18" s="20">
        <v>2.2000000000000002</v>
      </c>
      <c r="AD18" s="18">
        <f>AD17-($AD$16-$AD$21)/5</f>
        <v>0.97799999999999998</v>
      </c>
      <c r="AE18" s="18">
        <f>AE17-($AE$16-$AE$21)/5</f>
        <v>1.012</v>
      </c>
      <c r="AF18" s="18">
        <f>AF17-($AF$16-$AF$21)/5</f>
        <v>0.97799999999999998</v>
      </c>
      <c r="AG18" s="18">
        <f>AG17-($AG$16-$AG$21)/5</f>
        <v>1.012</v>
      </c>
      <c r="AH18" s="18">
        <f>AH17-($AH$16-$AH$21)/5</f>
        <v>0.97799999999999998</v>
      </c>
      <c r="AI18" s="18">
        <f>AI17-($AI$16-$AI$21)/5</f>
        <v>1.008</v>
      </c>
      <c r="AJ18" s="18">
        <f>AJ17-($AJ$16-$AJ$21)/5</f>
        <v>0.97799999999999998</v>
      </c>
      <c r="AK18" s="18">
        <f>AK17-($AK$16-$AK$21)/5</f>
        <v>1.008</v>
      </c>
      <c r="AL18" s="50" t="e">
        <f t="shared" si="17"/>
        <v>#N/A</v>
      </c>
      <c r="AM18" s="51" t="e">
        <f t="shared" si="18"/>
        <v>#N/A</v>
      </c>
      <c r="AN18" s="50" t="e">
        <f t="shared" si="19"/>
        <v>#N/A</v>
      </c>
      <c r="AO18" s="50" t="e">
        <f t="shared" si="13"/>
        <v>#N/A</v>
      </c>
      <c r="AP18" s="50" t="e">
        <f t="shared" si="20"/>
        <v>#N/A</v>
      </c>
      <c r="AQ18" s="51" t="e">
        <f t="shared" si="21"/>
        <v>#N/A</v>
      </c>
      <c r="AR18" s="50" t="e">
        <f t="shared" si="14"/>
        <v>#N/A</v>
      </c>
      <c r="AS18" s="50" t="e">
        <f t="shared" si="4"/>
        <v>#N/A</v>
      </c>
      <c r="AT18" s="50" t="e">
        <f t="shared" si="22"/>
        <v>#N/A</v>
      </c>
      <c r="AU18" s="51" t="e">
        <f t="shared" si="23"/>
        <v>#N/A</v>
      </c>
      <c r="AV18" s="50" t="e">
        <f t="shared" si="7"/>
        <v>#N/A</v>
      </c>
      <c r="AW18" s="50" t="e">
        <f t="shared" si="15"/>
        <v>#N/A</v>
      </c>
      <c r="AX18" s="50" t="e">
        <f t="shared" si="24"/>
        <v>#N/A</v>
      </c>
      <c r="AY18" s="51" t="e">
        <f t="shared" si="25"/>
        <v>#N/A</v>
      </c>
      <c r="AZ18" s="50" t="e">
        <f t="shared" si="10"/>
        <v>#N/A</v>
      </c>
      <c r="BA18" s="50" t="e">
        <f t="shared" si="16"/>
        <v>#N/A</v>
      </c>
      <c r="BC18" s="25"/>
      <c r="BD18" s="23"/>
      <c r="BE18" s="8"/>
      <c r="BF18" s="8"/>
      <c r="BG18" s="8"/>
      <c r="BH18" s="8"/>
    </row>
    <row r="19" spans="2:60" x14ac:dyDescent="0.2">
      <c r="B19" s="491"/>
      <c r="C19" s="13"/>
      <c r="D19" s="487"/>
      <c r="E19" s="487"/>
      <c r="F19" s="496"/>
      <c r="G19" s="118"/>
      <c r="H19" s="13" t="s">
        <v>6</v>
      </c>
      <c r="I19" s="493"/>
      <c r="J19" s="14" t="e">
        <f>IF(B18=" Airframe",TEXT(VLOOKUP($B$6&amp;E18,SOURCE!$D$5:$Q$42,13,FALSE),"0,0")&amp;"  -  "&amp;TEXT(VLOOKUP($B$6&amp;E18,SOURCE!$D$5:$Q$42,14,FALSE),"0,0"),"")</f>
        <v>#N/A</v>
      </c>
      <c r="K19" s="501"/>
      <c r="L19" s="501"/>
      <c r="M19" s="501"/>
      <c r="AC19" s="20">
        <v>2.2999999999999998</v>
      </c>
      <c r="AD19" s="18">
        <f>AD18-($AD$16-$AD$21)/5</f>
        <v>0.96699999999999997</v>
      </c>
      <c r="AE19" s="18">
        <f>AE18-($AE$16-$AE$21)/5</f>
        <v>1.018</v>
      </c>
      <c r="AF19" s="18">
        <f>AF18-($AF$16-$AF$21)/5</f>
        <v>0.96699999999999997</v>
      </c>
      <c r="AG19" s="18">
        <f>AG18-($AG$16-$AG$21)/5</f>
        <v>1.018</v>
      </c>
      <c r="AH19" s="18">
        <f>AH18-($AH$16-$AH$21)/5</f>
        <v>0.96699999999999997</v>
      </c>
      <c r="AI19" s="18">
        <f>AI18-($AI$16-$AI$21)/5</f>
        <v>1.012</v>
      </c>
      <c r="AJ19" s="18">
        <f>AJ18-($AJ$16-$AJ$21)/5</f>
        <v>0.96699999999999997</v>
      </c>
      <c r="AK19" s="18">
        <f>AK18-($AK$16-$AK$21)/5</f>
        <v>1.012</v>
      </c>
      <c r="AL19" s="50" t="e">
        <f t="shared" si="17"/>
        <v>#N/A</v>
      </c>
      <c r="AM19" s="51" t="e">
        <f t="shared" si="18"/>
        <v>#N/A</v>
      </c>
      <c r="AN19" s="50" t="e">
        <f t="shared" si="19"/>
        <v>#N/A</v>
      </c>
      <c r="AO19" s="50" t="e">
        <f t="shared" si="13"/>
        <v>#N/A</v>
      </c>
      <c r="AP19" s="50" t="e">
        <f t="shared" si="20"/>
        <v>#N/A</v>
      </c>
      <c r="AQ19" s="51" t="e">
        <f t="shared" si="21"/>
        <v>#N/A</v>
      </c>
      <c r="AR19" s="50" t="e">
        <f t="shared" si="14"/>
        <v>#N/A</v>
      </c>
      <c r="AS19" s="50" t="e">
        <f t="shared" si="4"/>
        <v>#N/A</v>
      </c>
      <c r="AT19" s="50" t="e">
        <f t="shared" si="22"/>
        <v>#N/A</v>
      </c>
      <c r="AU19" s="51" t="e">
        <f t="shared" si="23"/>
        <v>#N/A</v>
      </c>
      <c r="AV19" s="50" t="e">
        <f t="shared" si="7"/>
        <v>#N/A</v>
      </c>
      <c r="AW19" s="50" t="e">
        <f t="shared" si="15"/>
        <v>#N/A</v>
      </c>
      <c r="AX19" s="50" t="e">
        <f t="shared" si="24"/>
        <v>#N/A</v>
      </c>
      <c r="AY19" s="51" t="e">
        <f t="shared" si="25"/>
        <v>#N/A</v>
      </c>
      <c r="AZ19" s="50" t="e">
        <f t="shared" si="10"/>
        <v>#N/A</v>
      </c>
      <c r="BA19" s="50" t="e">
        <f t="shared" si="16"/>
        <v>#N/A</v>
      </c>
      <c r="BC19" s="25"/>
      <c r="BD19" s="23"/>
      <c r="BE19" s="8"/>
      <c r="BF19" s="8"/>
      <c r="BG19" s="8"/>
      <c r="BH19" s="8"/>
    </row>
    <row r="20" spans="2:60" x14ac:dyDescent="0.2">
      <c r="B20" s="495" t="s">
        <v>212</v>
      </c>
      <c r="C20" s="74"/>
      <c r="D20" s="497" t="str">
        <f>B6</f>
        <v>737-800</v>
      </c>
      <c r="E20" s="497" t="s">
        <v>240</v>
      </c>
      <c r="F20" s="499" t="s">
        <v>257</v>
      </c>
      <c r="G20" s="113"/>
      <c r="H20" s="74" t="s">
        <v>5</v>
      </c>
      <c r="I20" s="494">
        <v>1</v>
      </c>
      <c r="J20" s="85" t="e">
        <f>IF(B20=" Airframe",TEXT(VLOOKUP($B$6&amp;E20,SOURCE!$D$5:$Q$42,8,FALSE),"0,0")&amp;"  -  "&amp;TEXT(VLOOKUP($B$6&amp;E20,SOURCE!$D$5:$Q$42,9,FALSE),"0,0"),"")</f>
        <v>#N/A</v>
      </c>
      <c r="K20" s="502" t="str">
        <f>TEXT(SOURCE!E8,"0")</f>
        <v>18</v>
      </c>
      <c r="L20" s="112"/>
      <c r="M20" s="112"/>
      <c r="AC20" s="20">
        <v>2.4</v>
      </c>
      <c r="AD20" s="18">
        <f>AD19-($AD$16-$AD$21)/5</f>
        <v>0.95599999999999996</v>
      </c>
      <c r="AE20" s="18">
        <f>AE19-($AE$16-$AE$21)/5</f>
        <v>1.024</v>
      </c>
      <c r="AF20" s="18">
        <f>AF19-($AF$16-$AF$21)/5</f>
        <v>0.95599999999999996</v>
      </c>
      <c r="AG20" s="18">
        <f>AG19-($AG$16-$AG$21)/5</f>
        <v>1.024</v>
      </c>
      <c r="AH20" s="18">
        <f>AH19-($AH$16-$AH$21)/5</f>
        <v>0.95599999999999996</v>
      </c>
      <c r="AI20" s="18">
        <f>AI19-($AI$16-$AI$21)/5</f>
        <v>1.016</v>
      </c>
      <c r="AJ20" s="18">
        <f>AJ19-($AJ$16-$AJ$21)/5</f>
        <v>0.95599999999999996</v>
      </c>
      <c r="AK20" s="18">
        <f>AK19-($AK$16-$AK$21)/5</f>
        <v>1.016</v>
      </c>
      <c r="AL20" s="50" t="e">
        <f t="shared" si="17"/>
        <v>#N/A</v>
      </c>
      <c r="AM20" s="51" t="e">
        <f t="shared" si="18"/>
        <v>#N/A</v>
      </c>
      <c r="AN20" s="50" t="e">
        <f t="shared" si="19"/>
        <v>#N/A</v>
      </c>
      <c r="AO20" s="50" t="e">
        <f t="shared" si="13"/>
        <v>#N/A</v>
      </c>
      <c r="AP20" s="50" t="e">
        <f t="shared" si="20"/>
        <v>#N/A</v>
      </c>
      <c r="AQ20" s="51" t="e">
        <f t="shared" si="21"/>
        <v>#N/A</v>
      </c>
      <c r="AR20" s="50" t="e">
        <f t="shared" si="14"/>
        <v>#N/A</v>
      </c>
      <c r="AS20" s="50" t="e">
        <f t="shared" si="4"/>
        <v>#N/A</v>
      </c>
      <c r="AT20" s="50" t="e">
        <f t="shared" si="22"/>
        <v>#N/A</v>
      </c>
      <c r="AU20" s="51" t="e">
        <f t="shared" si="23"/>
        <v>#N/A</v>
      </c>
      <c r="AV20" s="50" t="e">
        <f t="shared" si="7"/>
        <v>#N/A</v>
      </c>
      <c r="AW20" s="50" t="e">
        <f t="shared" si="15"/>
        <v>#N/A</v>
      </c>
      <c r="AX20" s="50" t="e">
        <f t="shared" si="24"/>
        <v>#N/A</v>
      </c>
      <c r="AY20" s="51" t="e">
        <f t="shared" si="25"/>
        <v>#N/A</v>
      </c>
      <c r="AZ20" s="50" t="e">
        <f t="shared" si="10"/>
        <v>#N/A</v>
      </c>
      <c r="BA20" s="50" t="e">
        <f t="shared" si="16"/>
        <v>#N/A</v>
      </c>
      <c r="BC20" s="25"/>
      <c r="BD20" s="23"/>
      <c r="BE20" s="8"/>
      <c r="BF20" s="8"/>
      <c r="BG20" s="8"/>
      <c r="BH20" s="8"/>
    </row>
    <row r="21" spans="2:60" x14ac:dyDescent="0.2">
      <c r="B21" s="495"/>
      <c r="C21" s="74"/>
      <c r="D21" s="497"/>
      <c r="E21" s="497"/>
      <c r="F21" s="499"/>
      <c r="G21" s="113"/>
      <c r="H21" s="74" t="s">
        <v>6</v>
      </c>
      <c r="I21" s="494"/>
      <c r="J21" s="85" t="e">
        <f>IF(B20=" Airframe",TEXT(VLOOKUP($B$6&amp;E20,SOURCE!$D$5:$Q$42,13,FALSE),"0,0")&amp;"  -  "&amp;TEXT(VLOOKUP($B$6&amp;E20,SOURCE!$D$5:$Q$42,14,FALSE),"0,0"),"")</f>
        <v>#N/A</v>
      </c>
      <c r="K21" s="502"/>
      <c r="L21" s="112"/>
      <c r="M21" s="112"/>
      <c r="AC21" s="59">
        <v>2.5</v>
      </c>
      <c r="AD21" s="60">
        <f>SOURCE!BL10</f>
        <v>0.94499999999999995</v>
      </c>
      <c r="AE21" s="60">
        <f>SOURCE!BM10</f>
        <v>1.03</v>
      </c>
      <c r="AF21" s="60">
        <f>SOURCE!BN10</f>
        <v>0.94499999999999995</v>
      </c>
      <c r="AG21" s="60">
        <f>SOURCE!BO10</f>
        <v>1.03</v>
      </c>
      <c r="AH21" s="60">
        <f>SOURCE!BP10</f>
        <v>0.94499999999999995</v>
      </c>
      <c r="AI21" s="60">
        <f>SOURCE!BQ10</f>
        <v>1.02</v>
      </c>
      <c r="AJ21" s="60">
        <f>SOURCE!BR10</f>
        <v>0.94499999999999995</v>
      </c>
      <c r="AK21" s="60">
        <f>SOURCE!BS10</f>
        <v>1.02</v>
      </c>
      <c r="AL21" s="50" t="e">
        <f t="shared" si="17"/>
        <v>#N/A</v>
      </c>
      <c r="AM21" s="51" t="e">
        <f t="shared" si="18"/>
        <v>#N/A</v>
      </c>
      <c r="AN21" s="50" t="e">
        <f t="shared" si="19"/>
        <v>#N/A</v>
      </c>
      <c r="AO21" s="50" t="e">
        <f t="shared" si="13"/>
        <v>#N/A</v>
      </c>
      <c r="AP21" s="50" t="e">
        <f t="shared" si="20"/>
        <v>#N/A</v>
      </c>
      <c r="AQ21" s="51" t="e">
        <f t="shared" si="21"/>
        <v>#N/A</v>
      </c>
      <c r="AR21" s="50" t="e">
        <f t="shared" si="14"/>
        <v>#N/A</v>
      </c>
      <c r="AS21" s="50" t="e">
        <f t="shared" si="4"/>
        <v>#N/A</v>
      </c>
      <c r="AT21" s="50" t="e">
        <f t="shared" si="22"/>
        <v>#N/A</v>
      </c>
      <c r="AU21" s="51" t="e">
        <f t="shared" si="23"/>
        <v>#N/A</v>
      </c>
      <c r="AV21" s="50" t="e">
        <f t="shared" si="7"/>
        <v>#N/A</v>
      </c>
      <c r="AW21" s="50" t="e">
        <f t="shared" si="15"/>
        <v>#N/A</v>
      </c>
      <c r="AX21" s="50" t="e">
        <f t="shared" si="24"/>
        <v>#N/A</v>
      </c>
      <c r="AY21" s="51" t="e">
        <f t="shared" si="25"/>
        <v>#N/A</v>
      </c>
      <c r="AZ21" s="50" t="e">
        <f t="shared" si="10"/>
        <v>#N/A</v>
      </c>
      <c r="BA21" s="50" t="e">
        <f t="shared" si="16"/>
        <v>#N/A</v>
      </c>
      <c r="BC21" s="25"/>
      <c r="BD21" s="23"/>
      <c r="BE21" s="8"/>
      <c r="BF21" s="8"/>
      <c r="BG21" s="29"/>
      <c r="BH21" s="29"/>
    </row>
    <row r="22" spans="2:60" x14ac:dyDescent="0.2">
      <c r="B22" s="491" t="s">
        <v>213</v>
      </c>
      <c r="C22" s="87"/>
      <c r="D22" s="87" t="str">
        <f>D6</f>
        <v>CFM56-7B26/3</v>
      </c>
      <c r="E22" s="487" t="s">
        <v>67</v>
      </c>
      <c r="F22" s="489" t="s">
        <v>209</v>
      </c>
      <c r="G22" s="114"/>
      <c r="H22" s="13" t="s">
        <v>5</v>
      </c>
      <c r="I22" s="493">
        <v>2</v>
      </c>
      <c r="J22" s="14" t="e">
        <f>IF(BI5="True",TEXT(ROUND(VLOOKUP(1.75,AC5:BA46,10,FALSE)-350000,-4),"0,0")&amp;"  -  "&amp;TEXT(ROUND(VLOOKUP(1.75,AC5:BA46,10,FALSE)+100000,-4),"0,0"),TEXT(ROUND(VLOOKUP(2,AC5:BA46,18,FALSE)-250000,-4),"0,0")&amp;"  -  "&amp;TEXT(ROUND(VLOOKUP(2,AC5:BA46,18,FALSE)+50000,-4),"0,0"))</f>
        <v>#N/A</v>
      </c>
      <c r="K22" s="5"/>
      <c r="L22" s="14"/>
      <c r="M22" s="14" t="e">
        <f>IF(BI5="True",TEXT(ROUND(VLOOKUP(1.75,AC5:BA46,12,FALSE)-1000,-2),"0,0")&amp;"  -  "&amp;TEXT(ROUND(VLOOKUP(1.75,AC5:BA46,12,FALSE)+3000,-2),"0,0"),TEXT(ROUND(VLOOKUP(2,AC5:BA46,20,FALSE)-3000,-2),"0,0")&amp;"  -  "&amp;TEXT(ROUND(VLOOKUP(2,AC5:BA46,20,FALSE)+1000,-2),"0,0"))</f>
        <v>#N/A</v>
      </c>
      <c r="AC22" s="20">
        <v>2.6</v>
      </c>
      <c r="AD22" s="18">
        <f>AD21-($AD$21-$AD$26)/5</f>
        <v>0.93659999999999999</v>
      </c>
      <c r="AE22" s="18">
        <f>AE21-($AE$21-$AE$26)/5</f>
        <v>1.034</v>
      </c>
      <c r="AF22" s="18">
        <f>AF21-($AF$21-$AF$26)/5</f>
        <v>0.93659999999999999</v>
      </c>
      <c r="AG22" s="18">
        <f>AG21-($AG$21-$AG$26)/5</f>
        <v>1.034</v>
      </c>
      <c r="AH22" s="18">
        <f>AH21-($AH$21-$AH$26)/5</f>
        <v>0.93659999999999999</v>
      </c>
      <c r="AI22" s="18">
        <f>AI21-($AI$21-$AI$26)/5</f>
        <v>1.026</v>
      </c>
      <c r="AJ22" s="18">
        <f>AJ21-($AJ$21-$AJ$26)/5</f>
        <v>0.93659999999999999</v>
      </c>
      <c r="AK22" s="18">
        <f>AK21-($AK$21-$AK$26)/5</f>
        <v>1.0229999999999999</v>
      </c>
      <c r="AL22" s="50" t="e">
        <f t="shared" si="17"/>
        <v>#N/A</v>
      </c>
      <c r="AM22" s="51" t="e">
        <f t="shared" si="18"/>
        <v>#N/A</v>
      </c>
      <c r="AN22" s="50" t="e">
        <f t="shared" si="19"/>
        <v>#N/A</v>
      </c>
      <c r="AO22" s="50" t="e">
        <f t="shared" si="13"/>
        <v>#N/A</v>
      </c>
      <c r="AP22" s="50" t="e">
        <f t="shared" si="20"/>
        <v>#N/A</v>
      </c>
      <c r="AQ22" s="51" t="e">
        <f t="shared" si="21"/>
        <v>#N/A</v>
      </c>
      <c r="AR22" s="50" t="e">
        <f t="shared" si="14"/>
        <v>#N/A</v>
      </c>
      <c r="AS22" s="50" t="e">
        <f t="shared" si="4"/>
        <v>#N/A</v>
      </c>
      <c r="AT22" s="50" t="e">
        <f t="shared" si="22"/>
        <v>#N/A</v>
      </c>
      <c r="AU22" s="51" t="e">
        <f t="shared" si="23"/>
        <v>#N/A</v>
      </c>
      <c r="AV22" s="50" t="e">
        <f t="shared" si="7"/>
        <v>#N/A</v>
      </c>
      <c r="AW22" s="50" t="e">
        <f t="shared" si="15"/>
        <v>#N/A</v>
      </c>
      <c r="AX22" s="50" t="e">
        <f t="shared" si="24"/>
        <v>#N/A</v>
      </c>
      <c r="AY22" s="51" t="e">
        <f t="shared" si="25"/>
        <v>#N/A</v>
      </c>
      <c r="AZ22" s="50" t="e">
        <f t="shared" si="10"/>
        <v>#N/A</v>
      </c>
      <c r="BA22" s="50" t="e">
        <f t="shared" si="16"/>
        <v>#N/A</v>
      </c>
      <c r="BC22" s="25"/>
      <c r="BD22" s="23"/>
      <c r="BE22" s="8"/>
      <c r="BF22" s="8"/>
      <c r="BG22" s="8"/>
      <c r="BH22" s="8"/>
    </row>
    <row r="23" spans="2:60" x14ac:dyDescent="0.2">
      <c r="B23" s="491"/>
      <c r="C23" s="87"/>
      <c r="D23" s="99" t="e">
        <f>TEXT(VLOOKUP(D6,SOURCE!AH5:AK49,3,FALSE),"0,000")&amp;" lbs"</f>
        <v>#N/A</v>
      </c>
      <c r="E23" s="487"/>
      <c r="F23" s="489"/>
      <c r="G23" s="114"/>
      <c r="H23" s="13" t="s">
        <v>6</v>
      </c>
      <c r="I23" s="493"/>
      <c r="J23" s="14" t="e">
        <f>IF(BI5="True",TEXT(ROUND(VLOOKUP(1.75,AC5:BA46,14,FALSE)-100000,-4),"0,0")&amp;"  -  "&amp;TEXT(ROUND(VLOOKUP(1.75,AC5:BA46,14,FALSE)+300000,-4),"0,0"),TEXT(ROUND(VLOOKUP(2,AC5:BA46,22,FALSE)-300000,-4),"0,0")&amp;"  -  "&amp;TEXT(ROUND(VLOOKUP(2,AC5:BA46,22,FALSE)+300000,-4),"0,0"))</f>
        <v>#N/A</v>
      </c>
      <c r="K23" s="5"/>
      <c r="L23" s="14"/>
      <c r="M23" s="14" t="e">
        <f>IF(BI5="True",TEXT(ROUND(VLOOKUP(1.75,AC5:BA46,16,FALSE)-1000,-2),"0,0")&amp;"  -  "&amp;TEXT(ROUND(VLOOKUP(1.75,AC5:BA46,16,FALSE)+3000,-2),"0,0"),TEXT(ROUND(VLOOKUP(2,AC5:BA46,24,FALSE)-3000,-2),"0,0")&amp;"  -  "&amp;TEXT(ROUND(VLOOKUP(2,AC5:BA46,24,FALSE)+1000,-2),"0,0"))</f>
        <v>#N/A</v>
      </c>
      <c r="AC23" s="20">
        <v>2.7</v>
      </c>
      <c r="AD23" s="18">
        <f>AD22-($AD$21-$AD$26)/5</f>
        <v>0.92820000000000003</v>
      </c>
      <c r="AE23" s="18">
        <f>AE22-($AE$21-$AE$26)/5</f>
        <v>1.038</v>
      </c>
      <c r="AF23" s="18">
        <f>AF22-($AF$21-$AF$26)/5</f>
        <v>0.92820000000000003</v>
      </c>
      <c r="AG23" s="18">
        <f>AG22-($AG$21-$AG$26)/5</f>
        <v>1.038</v>
      </c>
      <c r="AH23" s="18">
        <f>AH22-($AH$21-$AH$26)/5</f>
        <v>0.92820000000000003</v>
      </c>
      <c r="AI23" s="18">
        <f>AI22-($AI$21-$AI$26)/5</f>
        <v>1.032</v>
      </c>
      <c r="AJ23" s="18">
        <f>AJ22-($AJ$21-$AJ$26)/5</f>
        <v>0.92820000000000003</v>
      </c>
      <c r="AK23" s="18">
        <f>AK22-($AK$21-$AK$26)/5</f>
        <v>1.0259999999999998</v>
      </c>
      <c r="AL23" s="50" t="e">
        <f t="shared" si="17"/>
        <v>#N/A</v>
      </c>
      <c r="AM23" s="51" t="e">
        <f t="shared" si="18"/>
        <v>#N/A</v>
      </c>
      <c r="AN23" s="50" t="e">
        <f t="shared" si="19"/>
        <v>#N/A</v>
      </c>
      <c r="AO23" s="50" t="e">
        <f t="shared" si="13"/>
        <v>#N/A</v>
      </c>
      <c r="AP23" s="50" t="e">
        <f t="shared" si="20"/>
        <v>#N/A</v>
      </c>
      <c r="AQ23" s="51" t="e">
        <f t="shared" si="21"/>
        <v>#N/A</v>
      </c>
      <c r="AR23" s="50" t="e">
        <f t="shared" si="14"/>
        <v>#N/A</v>
      </c>
      <c r="AS23" s="50" t="e">
        <f t="shared" si="4"/>
        <v>#N/A</v>
      </c>
      <c r="AT23" s="50" t="e">
        <f t="shared" si="22"/>
        <v>#N/A</v>
      </c>
      <c r="AU23" s="51" t="e">
        <f t="shared" si="23"/>
        <v>#N/A</v>
      </c>
      <c r="AV23" s="50" t="e">
        <f t="shared" si="7"/>
        <v>#N/A</v>
      </c>
      <c r="AW23" s="50" t="e">
        <f t="shared" si="15"/>
        <v>#N/A</v>
      </c>
      <c r="AX23" s="50" t="e">
        <f t="shared" si="24"/>
        <v>#N/A</v>
      </c>
      <c r="AY23" s="51" t="e">
        <f t="shared" si="25"/>
        <v>#N/A</v>
      </c>
      <c r="AZ23" s="50" t="e">
        <f t="shared" si="10"/>
        <v>#N/A</v>
      </c>
      <c r="BA23" s="50" t="e">
        <f t="shared" si="16"/>
        <v>#N/A</v>
      </c>
      <c r="BC23" s="25"/>
      <c r="BD23" s="23"/>
      <c r="BE23" s="8"/>
      <c r="BF23" s="8"/>
      <c r="BG23" s="8"/>
      <c r="BH23" s="8"/>
    </row>
    <row r="24" spans="2:60" x14ac:dyDescent="0.2">
      <c r="B24" s="495" t="s">
        <v>213</v>
      </c>
      <c r="C24" s="86"/>
      <c r="D24" s="86" t="str">
        <f>D6</f>
        <v>CFM56-7B26/3</v>
      </c>
      <c r="E24" s="497" t="s">
        <v>67</v>
      </c>
      <c r="F24" s="509" t="s">
        <v>216</v>
      </c>
      <c r="G24" s="110"/>
      <c r="H24" s="497" t="s">
        <v>215</v>
      </c>
      <c r="I24" s="494">
        <v>2</v>
      </c>
      <c r="J24" s="494" t="e">
        <f>IF(VLOOKUP(D6,SOURCE!AH5:AJ49,2,FALSE)="CFM56-7B",SOURCE!BC30)</f>
        <v>#N/A</v>
      </c>
      <c r="K24" s="506"/>
      <c r="L24" s="506"/>
      <c r="M24" s="506" t="e">
        <f>IF(VLOOKUP(D6,SOURCE!AH5:AJ49,2,FALSE)="CFM56-7B",TEXT(SOURCE!BB31,"0,0")&amp;"  limiter")</f>
        <v>#N/A</v>
      </c>
      <c r="AC24" s="20">
        <v>2.8</v>
      </c>
      <c r="AD24" s="18">
        <f>AD23-($AD$21-$AD$26)/5</f>
        <v>0.91980000000000006</v>
      </c>
      <c r="AE24" s="18">
        <f>AE23-($AE$21-$AE$26)/5</f>
        <v>1.042</v>
      </c>
      <c r="AF24" s="18">
        <f>AF23-($AF$21-$AF$26)/5</f>
        <v>0.91980000000000006</v>
      </c>
      <c r="AG24" s="18">
        <f>AG23-($AG$21-$AG$26)/5</f>
        <v>1.042</v>
      </c>
      <c r="AH24" s="18">
        <f>AH23-($AH$21-$AH$26)/5</f>
        <v>0.91980000000000006</v>
      </c>
      <c r="AI24" s="18">
        <f>AI23-($AI$21-$AI$26)/5</f>
        <v>1.038</v>
      </c>
      <c r="AJ24" s="18">
        <f>AJ23-($AJ$21-$AJ$26)/5</f>
        <v>0.91980000000000006</v>
      </c>
      <c r="AK24" s="18">
        <f>AK23-($AK$21-$AK$26)/5</f>
        <v>1.0289999999999997</v>
      </c>
      <c r="AL24" s="50" t="e">
        <f t="shared" si="17"/>
        <v>#N/A</v>
      </c>
      <c r="AM24" s="51" t="e">
        <f t="shared" si="18"/>
        <v>#N/A</v>
      </c>
      <c r="AN24" s="50" t="e">
        <f t="shared" si="19"/>
        <v>#N/A</v>
      </c>
      <c r="AO24" s="50" t="e">
        <f t="shared" si="13"/>
        <v>#N/A</v>
      </c>
      <c r="AP24" s="50" t="e">
        <f t="shared" si="20"/>
        <v>#N/A</v>
      </c>
      <c r="AQ24" s="51" t="e">
        <f t="shared" si="21"/>
        <v>#N/A</v>
      </c>
      <c r="AR24" s="50" t="e">
        <f t="shared" si="14"/>
        <v>#N/A</v>
      </c>
      <c r="AS24" s="50" t="e">
        <f t="shared" si="4"/>
        <v>#N/A</v>
      </c>
      <c r="AT24" s="50" t="e">
        <f t="shared" si="22"/>
        <v>#N/A</v>
      </c>
      <c r="AU24" s="51" t="e">
        <f t="shared" si="23"/>
        <v>#N/A</v>
      </c>
      <c r="AV24" s="50" t="e">
        <f t="shared" si="7"/>
        <v>#N/A</v>
      </c>
      <c r="AW24" s="50" t="e">
        <f t="shared" si="15"/>
        <v>#N/A</v>
      </c>
      <c r="AX24" s="50" t="e">
        <f t="shared" si="24"/>
        <v>#N/A</v>
      </c>
      <c r="AY24" s="51" t="e">
        <f t="shared" si="25"/>
        <v>#N/A</v>
      </c>
      <c r="AZ24" s="50" t="e">
        <f t="shared" si="10"/>
        <v>#N/A</v>
      </c>
      <c r="BA24" s="50" t="e">
        <f t="shared" si="16"/>
        <v>#N/A</v>
      </c>
      <c r="BC24" s="25"/>
      <c r="BD24" s="23"/>
      <c r="BE24" s="8"/>
      <c r="BF24" s="8"/>
      <c r="BG24" s="8"/>
      <c r="BH24" s="8"/>
    </row>
    <row r="25" spans="2:60" x14ac:dyDescent="0.2">
      <c r="B25" s="495"/>
      <c r="C25" s="86"/>
      <c r="D25" s="103" t="e">
        <f>D23</f>
        <v>#N/A</v>
      </c>
      <c r="E25" s="497"/>
      <c r="F25" s="509"/>
      <c r="G25" s="110"/>
      <c r="H25" s="497"/>
      <c r="I25" s="494"/>
      <c r="J25" s="494"/>
      <c r="K25" s="506"/>
      <c r="L25" s="506"/>
      <c r="M25" s="506"/>
      <c r="AC25" s="20">
        <v>2.9</v>
      </c>
      <c r="AD25" s="18">
        <f>AD24-($AD$21-$AD$26)/5</f>
        <v>0.9114000000000001</v>
      </c>
      <c r="AE25" s="18">
        <f>AE24-($AE$21-$AE$26)/5</f>
        <v>1.046</v>
      </c>
      <c r="AF25" s="18">
        <f>AF24-($AF$21-$AF$26)/5</f>
        <v>0.9114000000000001</v>
      </c>
      <c r="AG25" s="18">
        <f>AG24-($AG$21-$AG$26)/5</f>
        <v>1.046</v>
      </c>
      <c r="AH25" s="18">
        <f>AH24-($AH$21-$AH$26)/5</f>
        <v>0.9114000000000001</v>
      </c>
      <c r="AI25" s="18">
        <f>AI24-($AI$21-$AI$26)/5</f>
        <v>1.044</v>
      </c>
      <c r="AJ25" s="18">
        <f>AJ24-($AJ$21-$AJ$26)/5</f>
        <v>0.9114000000000001</v>
      </c>
      <c r="AK25" s="18">
        <f>AK24-($AK$21-$AK$26)/5</f>
        <v>1.0319999999999996</v>
      </c>
      <c r="AL25" s="50" t="e">
        <f t="shared" si="17"/>
        <v>#N/A</v>
      </c>
      <c r="AM25" s="51" t="e">
        <f t="shared" si="18"/>
        <v>#N/A</v>
      </c>
      <c r="AN25" s="50" t="e">
        <f t="shared" si="19"/>
        <v>#N/A</v>
      </c>
      <c r="AO25" s="50" t="e">
        <f t="shared" si="13"/>
        <v>#N/A</v>
      </c>
      <c r="AP25" s="50" t="e">
        <f t="shared" si="20"/>
        <v>#N/A</v>
      </c>
      <c r="AQ25" s="51" t="e">
        <f t="shared" si="21"/>
        <v>#N/A</v>
      </c>
      <c r="AR25" s="50" t="e">
        <f t="shared" si="14"/>
        <v>#N/A</v>
      </c>
      <c r="AS25" s="50" t="e">
        <f t="shared" si="4"/>
        <v>#N/A</v>
      </c>
      <c r="AT25" s="50" t="e">
        <f t="shared" si="22"/>
        <v>#N/A</v>
      </c>
      <c r="AU25" s="51" t="e">
        <f t="shared" si="23"/>
        <v>#N/A</v>
      </c>
      <c r="AV25" s="50" t="e">
        <f t="shared" si="7"/>
        <v>#N/A</v>
      </c>
      <c r="AW25" s="50" t="e">
        <f t="shared" si="15"/>
        <v>#N/A</v>
      </c>
      <c r="AX25" s="50" t="e">
        <f t="shared" si="24"/>
        <v>#N/A</v>
      </c>
      <c r="AY25" s="51" t="e">
        <f t="shared" si="25"/>
        <v>#N/A</v>
      </c>
      <c r="AZ25" s="50" t="e">
        <f t="shared" si="10"/>
        <v>#N/A</v>
      </c>
      <c r="BA25" s="50" t="e">
        <f t="shared" si="16"/>
        <v>#N/A</v>
      </c>
      <c r="BC25" s="25"/>
      <c r="BD25" s="23"/>
      <c r="BE25" s="8"/>
      <c r="BF25" s="8"/>
      <c r="BG25" s="8"/>
      <c r="BH25" s="8"/>
    </row>
    <row r="26" spans="2:60" ht="11.25" customHeight="1" x14ac:dyDescent="0.2">
      <c r="B26" s="487" t="s">
        <v>175</v>
      </c>
      <c r="D26" s="487" t="s">
        <v>66</v>
      </c>
      <c r="E26" s="487" t="s">
        <v>67</v>
      </c>
      <c r="F26" s="489" t="s">
        <v>209</v>
      </c>
      <c r="H26" s="487" t="s">
        <v>215</v>
      </c>
      <c r="I26" s="501">
        <v>1</v>
      </c>
      <c r="J26" s="501" t="str">
        <f>TEXT(ROUND(SOURCE!AE7-SOURCE!AF7,0),"0,0")&amp;"  -  "&amp;TEXT(ROUND(SOURCE!AE7+SOURCE!AF7,0),"0,0")</f>
        <v>228,100  -  268,100</v>
      </c>
      <c r="K26" s="13"/>
      <c r="L26" s="508" t="str">
        <f>TEXT(ROUND(SOURCE!Z7-SOURCE!AC7,0),"0,0")&amp;" APU FH"&amp;" -          "&amp;TEXT(ROUND(SOURCE!Z7+SOURCE!AC7,0),"0,0")&amp;" APU FH"</f>
        <v>6,000 APU FH -          7,000 APU FH</v>
      </c>
      <c r="M26" s="13"/>
      <c r="AC26" s="59">
        <v>3</v>
      </c>
      <c r="AD26" s="60">
        <f>SOURCE!BL11</f>
        <v>0.90300000000000002</v>
      </c>
      <c r="AE26" s="60">
        <f>SOURCE!BM11</f>
        <v>1.05</v>
      </c>
      <c r="AF26" s="60">
        <f>SOURCE!BN11</f>
        <v>0.90300000000000002</v>
      </c>
      <c r="AG26" s="60">
        <f>SOURCE!BO11</f>
        <v>1.05</v>
      </c>
      <c r="AH26" s="60">
        <f>SOURCE!BP11</f>
        <v>0.90300000000000002</v>
      </c>
      <c r="AI26" s="60">
        <f>SOURCE!BQ11</f>
        <v>1.05</v>
      </c>
      <c r="AJ26" s="60">
        <f>SOURCE!BR11</f>
        <v>0.90300000000000002</v>
      </c>
      <c r="AK26" s="60">
        <f>SOURCE!BS11</f>
        <v>1.0349999999999999</v>
      </c>
      <c r="AL26" s="50" t="e">
        <f t="shared" si="17"/>
        <v>#N/A</v>
      </c>
      <c r="AM26" s="51" t="e">
        <f t="shared" si="18"/>
        <v>#N/A</v>
      </c>
      <c r="AN26" s="50" t="e">
        <f t="shared" si="19"/>
        <v>#N/A</v>
      </c>
      <c r="AO26" s="50" t="e">
        <f t="shared" si="13"/>
        <v>#N/A</v>
      </c>
      <c r="AP26" s="50" t="e">
        <f t="shared" si="20"/>
        <v>#N/A</v>
      </c>
      <c r="AQ26" s="51" t="e">
        <f t="shared" si="21"/>
        <v>#N/A</v>
      </c>
      <c r="AR26" s="50" t="e">
        <f t="shared" si="14"/>
        <v>#N/A</v>
      </c>
      <c r="AS26" s="50" t="e">
        <f t="shared" si="4"/>
        <v>#N/A</v>
      </c>
      <c r="AT26" s="50" t="e">
        <f t="shared" si="22"/>
        <v>#N/A</v>
      </c>
      <c r="AU26" s="51" t="e">
        <f t="shared" si="23"/>
        <v>#N/A</v>
      </c>
      <c r="AV26" s="50" t="e">
        <f t="shared" si="7"/>
        <v>#N/A</v>
      </c>
      <c r="AW26" s="50" t="e">
        <f t="shared" si="15"/>
        <v>#N/A</v>
      </c>
      <c r="AX26" s="50" t="e">
        <f t="shared" si="24"/>
        <v>#N/A</v>
      </c>
      <c r="AY26" s="51" t="e">
        <f t="shared" si="25"/>
        <v>#N/A</v>
      </c>
      <c r="AZ26" s="50" t="e">
        <f t="shared" si="10"/>
        <v>#N/A</v>
      </c>
      <c r="BA26" s="50" t="e">
        <f t="shared" si="16"/>
        <v>#N/A</v>
      </c>
      <c r="BC26" s="25"/>
      <c r="BD26" s="23"/>
      <c r="BE26" s="8"/>
      <c r="BF26" s="8"/>
      <c r="BG26" s="8"/>
      <c r="BH26" s="8"/>
    </row>
    <row r="27" spans="2:60" x14ac:dyDescent="0.2">
      <c r="B27" s="487"/>
      <c r="D27" s="487"/>
      <c r="E27" s="487"/>
      <c r="F27" s="489"/>
      <c r="H27" s="487"/>
      <c r="I27" s="501"/>
      <c r="J27" s="501"/>
      <c r="K27" s="13"/>
      <c r="L27" s="508"/>
      <c r="M27" s="13"/>
      <c r="AC27" s="20">
        <v>3.1</v>
      </c>
      <c r="AD27" s="18">
        <f>AD26-($AD$26-$AD$31)/5</f>
        <v>0.89760000000000006</v>
      </c>
      <c r="AE27" s="18">
        <f>AE26-($AE$26-$AE$31)/5</f>
        <v>1.054</v>
      </c>
      <c r="AF27" s="18">
        <f>AF26-($AF$26-$AF$31)/5</f>
        <v>0.89760000000000006</v>
      </c>
      <c r="AG27" s="18">
        <f>AG26-($AG$26-$AG$31)/5</f>
        <v>1.054</v>
      </c>
      <c r="AH27" s="18">
        <f>AH26-($AH$26-$AH$31)/5</f>
        <v>0.89760000000000006</v>
      </c>
      <c r="AI27" s="18">
        <f>AI26-($AI$26-$AI$31)/5</f>
        <v>1.0529999999999999</v>
      </c>
      <c r="AJ27" s="18">
        <f>AJ26-($AJ$26-$AJ$31)/5</f>
        <v>0.89760000000000006</v>
      </c>
      <c r="AK27" s="18">
        <f>AK26-($AK$26-$AK$31)/5</f>
        <v>1.038</v>
      </c>
      <c r="AL27" s="50" t="e">
        <f t="shared" si="17"/>
        <v>#N/A</v>
      </c>
      <c r="AM27" s="51" t="e">
        <f t="shared" si="18"/>
        <v>#N/A</v>
      </c>
      <c r="AN27" s="50" t="e">
        <f t="shared" si="19"/>
        <v>#N/A</v>
      </c>
      <c r="AO27" s="50" t="e">
        <f t="shared" si="13"/>
        <v>#N/A</v>
      </c>
      <c r="AP27" s="50" t="e">
        <f t="shared" si="20"/>
        <v>#N/A</v>
      </c>
      <c r="AQ27" s="51" t="e">
        <f t="shared" si="21"/>
        <v>#N/A</v>
      </c>
      <c r="AR27" s="50" t="e">
        <f t="shared" si="14"/>
        <v>#N/A</v>
      </c>
      <c r="AS27" s="50" t="e">
        <f t="shared" si="4"/>
        <v>#N/A</v>
      </c>
      <c r="AT27" s="50" t="e">
        <f t="shared" si="22"/>
        <v>#N/A</v>
      </c>
      <c r="AU27" s="51" t="e">
        <f t="shared" si="23"/>
        <v>#N/A</v>
      </c>
      <c r="AV27" s="50" t="e">
        <f t="shared" si="7"/>
        <v>#N/A</v>
      </c>
      <c r="AW27" s="50" t="e">
        <f t="shared" si="15"/>
        <v>#N/A</v>
      </c>
      <c r="AX27" s="50" t="e">
        <f t="shared" si="24"/>
        <v>#N/A</v>
      </c>
      <c r="AY27" s="51" t="e">
        <f t="shared" si="25"/>
        <v>#N/A</v>
      </c>
      <c r="AZ27" s="50" t="e">
        <f t="shared" si="10"/>
        <v>#N/A</v>
      </c>
      <c r="BA27" s="50" t="e">
        <f t="shared" si="16"/>
        <v>#N/A</v>
      </c>
      <c r="BC27" s="25"/>
      <c r="BD27" s="23"/>
      <c r="BE27" s="8"/>
      <c r="BF27" s="8"/>
      <c r="BG27" s="8"/>
      <c r="BH27" s="8"/>
    </row>
    <row r="28" spans="2:60" x14ac:dyDescent="0.2">
      <c r="B28" s="495" t="s">
        <v>175</v>
      </c>
      <c r="C28" s="86"/>
      <c r="D28" s="86" t="s">
        <v>223</v>
      </c>
      <c r="E28" s="497" t="s">
        <v>67</v>
      </c>
      <c r="F28" s="509" t="s">
        <v>186</v>
      </c>
      <c r="G28" s="110"/>
      <c r="H28" s="497" t="s">
        <v>215</v>
      </c>
      <c r="I28" s="111">
        <v>2</v>
      </c>
      <c r="J28" s="111" t="str">
        <f>TEXT(ROUND(SOURCE!AE5-SOURCE!AF5,0),"0,0")&amp;"  -  "&amp;TEXT(ROUND(SOURCE!AE5+SOURCE!AF5,0),"0,0")</f>
        <v>278,700  -  318,700</v>
      </c>
      <c r="K28" s="494">
        <f>SOURCE!Y5</f>
        <v>120</v>
      </c>
      <c r="L28" s="502"/>
      <c r="M28" s="494">
        <f>SOURCE!AA5</f>
        <v>20000</v>
      </c>
      <c r="AC28" s="20">
        <v>3.2</v>
      </c>
      <c r="AD28" s="18">
        <f>AD27-($AD$26-$AD$31)/5</f>
        <v>0.8922000000000001</v>
      </c>
      <c r="AE28" s="18">
        <f>AE27-($AE$26-$AE$31)/5</f>
        <v>1.0580000000000001</v>
      </c>
      <c r="AF28" s="18">
        <f>AF27-($AF$26-$AF$31)/5</f>
        <v>0.8922000000000001</v>
      </c>
      <c r="AG28" s="18">
        <f>AG27-($AG$26-$AG$31)/5</f>
        <v>1.0580000000000001</v>
      </c>
      <c r="AH28" s="18">
        <f>AH27-($AH$26-$AH$31)/5</f>
        <v>0.8922000000000001</v>
      </c>
      <c r="AI28" s="18">
        <f>AI27-($AI$26-$AI$31)/5</f>
        <v>1.0559999999999998</v>
      </c>
      <c r="AJ28" s="18">
        <f>AJ27-($AJ$26-$AJ$31)/5</f>
        <v>0.8922000000000001</v>
      </c>
      <c r="AK28" s="18">
        <f>AK27-($AK$26-$AK$31)/5</f>
        <v>1.0410000000000001</v>
      </c>
      <c r="AL28" s="50" t="e">
        <f t="shared" si="17"/>
        <v>#N/A</v>
      </c>
      <c r="AM28" s="51" t="e">
        <f t="shared" si="18"/>
        <v>#N/A</v>
      </c>
      <c r="AN28" s="50" t="e">
        <f t="shared" si="19"/>
        <v>#N/A</v>
      </c>
      <c r="AO28" s="50" t="e">
        <f t="shared" si="13"/>
        <v>#N/A</v>
      </c>
      <c r="AP28" s="50" t="e">
        <f t="shared" si="20"/>
        <v>#N/A</v>
      </c>
      <c r="AQ28" s="51" t="e">
        <f t="shared" si="21"/>
        <v>#N/A</v>
      </c>
      <c r="AR28" s="50" t="e">
        <f t="shared" si="14"/>
        <v>#N/A</v>
      </c>
      <c r="AS28" s="50" t="e">
        <f t="shared" si="4"/>
        <v>#N/A</v>
      </c>
      <c r="AT28" s="50" t="e">
        <f t="shared" si="22"/>
        <v>#N/A</v>
      </c>
      <c r="AU28" s="51" t="e">
        <f t="shared" si="23"/>
        <v>#N/A</v>
      </c>
      <c r="AV28" s="50" t="e">
        <f t="shared" si="7"/>
        <v>#N/A</v>
      </c>
      <c r="AW28" s="50" t="e">
        <f t="shared" si="15"/>
        <v>#N/A</v>
      </c>
      <c r="AX28" s="50" t="e">
        <f t="shared" si="24"/>
        <v>#N/A</v>
      </c>
      <c r="AY28" s="51" t="e">
        <f t="shared" si="25"/>
        <v>#N/A</v>
      </c>
      <c r="AZ28" s="50" t="e">
        <f t="shared" si="10"/>
        <v>#N/A</v>
      </c>
      <c r="BA28" s="50" t="e">
        <f t="shared" si="16"/>
        <v>#N/A</v>
      </c>
      <c r="BC28" s="25"/>
      <c r="BD28" s="23"/>
      <c r="BE28" s="8"/>
      <c r="BF28" s="8"/>
      <c r="BG28" s="8"/>
      <c r="BH28" s="8"/>
    </row>
    <row r="29" spans="2:60" x14ac:dyDescent="0.2">
      <c r="B29" s="495"/>
      <c r="C29" s="86"/>
      <c r="D29" s="86" t="s">
        <v>224</v>
      </c>
      <c r="E29" s="497"/>
      <c r="F29" s="509"/>
      <c r="G29" s="110"/>
      <c r="H29" s="497"/>
      <c r="I29" s="111">
        <v>1</v>
      </c>
      <c r="J29" s="111" t="str">
        <f>TEXT(ROUND(SOURCE!AE6-SOURCE!AF6,0),"0,0")&amp;"  -  "&amp;TEXT(ROUND(SOURCE!AE6+SOURCE!AF6,0),"0,0")</f>
        <v>139,350  -  159,350</v>
      </c>
      <c r="K29" s="494"/>
      <c r="L29" s="502"/>
      <c r="M29" s="494"/>
      <c r="AC29" s="20">
        <v>3.3</v>
      </c>
      <c r="AD29" s="18">
        <f>AD28-($AD$26-$AD$31)/5</f>
        <v>0.88680000000000014</v>
      </c>
      <c r="AE29" s="18">
        <f>AE28-($AE$26-$AE$31)/5</f>
        <v>1.0620000000000001</v>
      </c>
      <c r="AF29" s="18">
        <f>AF28-($AF$26-$AF$31)/5</f>
        <v>0.88680000000000014</v>
      </c>
      <c r="AG29" s="18">
        <f>AG28-($AG$26-$AG$31)/5</f>
        <v>1.0620000000000001</v>
      </c>
      <c r="AH29" s="18">
        <f>AH28-($AH$26-$AH$31)/5</f>
        <v>0.88680000000000014</v>
      </c>
      <c r="AI29" s="18">
        <f>AI28-($AI$26-$AI$31)/5</f>
        <v>1.0589999999999997</v>
      </c>
      <c r="AJ29" s="18">
        <f>AJ28-($AJ$26-$AJ$31)/5</f>
        <v>0.88680000000000014</v>
      </c>
      <c r="AK29" s="18">
        <f>AK28-($AK$26-$AK$31)/5</f>
        <v>1.0440000000000003</v>
      </c>
      <c r="AL29" s="50" t="e">
        <f t="shared" si="17"/>
        <v>#N/A</v>
      </c>
      <c r="AM29" s="51" t="e">
        <f t="shared" si="18"/>
        <v>#N/A</v>
      </c>
      <c r="AN29" s="50" t="e">
        <f t="shared" si="19"/>
        <v>#N/A</v>
      </c>
      <c r="AO29" s="50" t="e">
        <f t="shared" si="13"/>
        <v>#N/A</v>
      </c>
      <c r="AP29" s="50" t="e">
        <f t="shared" si="20"/>
        <v>#N/A</v>
      </c>
      <c r="AQ29" s="51" t="e">
        <f t="shared" si="21"/>
        <v>#N/A</v>
      </c>
      <c r="AR29" s="50" t="e">
        <f t="shared" si="14"/>
        <v>#N/A</v>
      </c>
      <c r="AS29" s="50" t="e">
        <f t="shared" si="4"/>
        <v>#N/A</v>
      </c>
      <c r="AT29" s="50" t="e">
        <f t="shared" si="22"/>
        <v>#N/A</v>
      </c>
      <c r="AU29" s="51" t="e">
        <f t="shared" si="23"/>
        <v>#N/A</v>
      </c>
      <c r="AV29" s="50" t="e">
        <f t="shared" si="7"/>
        <v>#N/A</v>
      </c>
      <c r="AW29" s="50" t="e">
        <f t="shared" si="15"/>
        <v>#N/A</v>
      </c>
      <c r="AX29" s="50" t="e">
        <f t="shared" si="24"/>
        <v>#N/A</v>
      </c>
      <c r="AY29" s="51" t="e">
        <f t="shared" si="25"/>
        <v>#N/A</v>
      </c>
      <c r="AZ29" s="50" t="e">
        <f t="shared" si="10"/>
        <v>#N/A</v>
      </c>
      <c r="BA29" s="50" t="e">
        <f t="shared" si="16"/>
        <v>#N/A</v>
      </c>
      <c r="BC29" s="25"/>
      <c r="BD29" s="23"/>
      <c r="BE29" s="8"/>
      <c r="BF29" s="8"/>
      <c r="BG29" s="8"/>
      <c r="BH29" s="8"/>
    </row>
    <row r="30" spans="2:60" x14ac:dyDescent="0.2">
      <c r="B30" s="491" t="s">
        <v>175</v>
      </c>
      <c r="C30" s="87"/>
      <c r="D30" s="87" t="s">
        <v>225</v>
      </c>
      <c r="E30" s="487" t="s">
        <v>67</v>
      </c>
      <c r="F30" s="114" t="s">
        <v>229</v>
      </c>
      <c r="G30" s="114"/>
      <c r="H30" s="487" t="s">
        <v>215</v>
      </c>
      <c r="I30" s="117">
        <v>4</v>
      </c>
      <c r="J30" s="501" t="str">
        <f>TEXT(ROUND(SOURCE!AE7-SOURCE!AF7,0),"0,0")&amp;"  -  "&amp;TEXT(ROUND(SOURCE!AE7+SOURCE!AF7,0),"0,0")</f>
        <v>228,100  -  268,100</v>
      </c>
      <c r="K30" s="100"/>
      <c r="L30" s="101"/>
      <c r="M30" s="102" t="str">
        <f>TEXT(ROUND(SOURCE!AA11-SOURCE!AD11,0),"0,0")&amp;"  -  "&amp;TEXT(ROUND(SOURCE!AA11+SOURCE!AD11,0),"0,0")</f>
        <v>250  -  350</v>
      </c>
      <c r="AC30" s="20">
        <v>3.4</v>
      </c>
      <c r="AD30" s="18">
        <f>AD29-($AD$26-$AD$31)/5</f>
        <v>0.88140000000000018</v>
      </c>
      <c r="AE30" s="18">
        <f>AE29-($AE$26-$AE$31)/5</f>
        <v>1.0660000000000001</v>
      </c>
      <c r="AF30" s="18">
        <f>AF29-($AF$26-$AF$31)/5</f>
        <v>0.88140000000000018</v>
      </c>
      <c r="AG30" s="18">
        <f>AG29-($AG$26-$AG$31)/5</f>
        <v>1.0660000000000001</v>
      </c>
      <c r="AH30" s="18">
        <f>AH29-($AH$26-$AH$31)/5</f>
        <v>0.88140000000000018</v>
      </c>
      <c r="AI30" s="18">
        <f>AI29-($AI$26-$AI$31)/5</f>
        <v>1.0619999999999996</v>
      </c>
      <c r="AJ30" s="18">
        <f>AJ29-($AJ$26-$AJ$31)/5</f>
        <v>0.88140000000000018</v>
      </c>
      <c r="AK30" s="18">
        <f>AK29-($AK$26-$AK$31)/5</f>
        <v>1.0470000000000004</v>
      </c>
      <c r="AL30" s="50" t="e">
        <f t="shared" si="17"/>
        <v>#N/A</v>
      </c>
      <c r="AM30" s="51" t="e">
        <f t="shared" si="18"/>
        <v>#N/A</v>
      </c>
      <c r="AN30" s="50" t="e">
        <f t="shared" si="19"/>
        <v>#N/A</v>
      </c>
      <c r="AO30" s="50" t="e">
        <f t="shared" si="13"/>
        <v>#N/A</v>
      </c>
      <c r="AP30" s="50" t="e">
        <f t="shared" si="20"/>
        <v>#N/A</v>
      </c>
      <c r="AQ30" s="51" t="e">
        <f t="shared" si="21"/>
        <v>#N/A</v>
      </c>
      <c r="AR30" s="50" t="e">
        <f t="shared" si="14"/>
        <v>#N/A</v>
      </c>
      <c r="AS30" s="50" t="e">
        <f t="shared" si="4"/>
        <v>#N/A</v>
      </c>
      <c r="AT30" s="50" t="e">
        <f t="shared" si="22"/>
        <v>#N/A</v>
      </c>
      <c r="AU30" s="51" t="e">
        <f t="shared" si="23"/>
        <v>#N/A</v>
      </c>
      <c r="AV30" s="50" t="e">
        <f t="shared" si="7"/>
        <v>#N/A</v>
      </c>
      <c r="AW30" s="50" t="e">
        <f t="shared" si="15"/>
        <v>#N/A</v>
      </c>
      <c r="AX30" s="50" t="e">
        <f t="shared" si="24"/>
        <v>#N/A</v>
      </c>
      <c r="AY30" s="51" t="e">
        <f t="shared" si="25"/>
        <v>#N/A</v>
      </c>
      <c r="AZ30" s="50" t="e">
        <f t="shared" si="10"/>
        <v>#N/A</v>
      </c>
      <c r="BA30" s="50" t="e">
        <f t="shared" si="16"/>
        <v>#N/A</v>
      </c>
      <c r="BC30" s="25"/>
      <c r="BD30" s="23"/>
      <c r="BE30" s="8"/>
      <c r="BF30" s="8"/>
      <c r="BG30" s="8"/>
      <c r="BH30" s="8"/>
    </row>
    <row r="31" spans="2:60" x14ac:dyDescent="0.2">
      <c r="B31" s="491"/>
      <c r="C31" s="87"/>
      <c r="D31" s="87" t="s">
        <v>226</v>
      </c>
      <c r="E31" s="487"/>
      <c r="F31" s="114"/>
      <c r="G31" s="114"/>
      <c r="H31" s="487"/>
      <c r="I31" s="117">
        <v>2</v>
      </c>
      <c r="J31" s="501"/>
      <c r="K31" s="87"/>
      <c r="L31" s="87"/>
      <c r="M31" s="115" t="str">
        <f>TEXT(ROUND(SOURCE!AA12-SOURCE!AD12,0),"0,0")&amp;"  -  "&amp;TEXT(ROUND(SOURCE!AA12+SOURCE!AD12,0),"0,0")</f>
        <v>150  -  250</v>
      </c>
      <c r="AC31" s="59">
        <v>3.5</v>
      </c>
      <c r="AD31" s="60">
        <f>SOURCE!BL12</f>
        <v>0.876</v>
      </c>
      <c r="AE31" s="60">
        <f>SOURCE!BM12</f>
        <v>1.07</v>
      </c>
      <c r="AF31" s="60">
        <f>SOURCE!BN12</f>
        <v>0.876</v>
      </c>
      <c r="AG31" s="60">
        <f>SOURCE!BO12</f>
        <v>1.07</v>
      </c>
      <c r="AH31" s="60">
        <f>SOURCE!BP12</f>
        <v>0.876</v>
      </c>
      <c r="AI31" s="60">
        <f>SOURCE!BQ12</f>
        <v>1.0649999999999999</v>
      </c>
      <c r="AJ31" s="60">
        <f>SOURCE!BR12</f>
        <v>0.876</v>
      </c>
      <c r="AK31" s="60">
        <f>SOURCE!BS12</f>
        <v>1.05</v>
      </c>
      <c r="AL31" s="50" t="e">
        <f t="shared" si="17"/>
        <v>#N/A</v>
      </c>
      <c r="AM31" s="51" t="e">
        <f t="shared" si="18"/>
        <v>#N/A</v>
      </c>
      <c r="AN31" s="50" t="e">
        <f t="shared" si="19"/>
        <v>#N/A</v>
      </c>
      <c r="AO31" s="50" t="e">
        <f t="shared" si="13"/>
        <v>#N/A</v>
      </c>
      <c r="AP31" s="50" t="e">
        <f t="shared" si="20"/>
        <v>#N/A</v>
      </c>
      <c r="AQ31" s="51" t="e">
        <f t="shared" si="21"/>
        <v>#N/A</v>
      </c>
      <c r="AR31" s="50" t="e">
        <f t="shared" si="14"/>
        <v>#N/A</v>
      </c>
      <c r="AS31" s="50" t="e">
        <f t="shared" si="4"/>
        <v>#N/A</v>
      </c>
      <c r="AT31" s="50" t="e">
        <f t="shared" si="22"/>
        <v>#N/A</v>
      </c>
      <c r="AU31" s="51" t="e">
        <f t="shared" si="23"/>
        <v>#N/A</v>
      </c>
      <c r="AV31" s="50" t="e">
        <f t="shared" si="7"/>
        <v>#N/A</v>
      </c>
      <c r="AW31" s="50" t="e">
        <f t="shared" si="15"/>
        <v>#N/A</v>
      </c>
      <c r="AX31" s="50" t="e">
        <f t="shared" si="24"/>
        <v>#N/A</v>
      </c>
      <c r="AY31" s="51" t="e">
        <f t="shared" si="25"/>
        <v>#N/A</v>
      </c>
      <c r="AZ31" s="50" t="e">
        <f t="shared" si="10"/>
        <v>#N/A</v>
      </c>
      <c r="BA31" s="50" t="e">
        <f t="shared" si="16"/>
        <v>#N/A</v>
      </c>
      <c r="BC31" s="25"/>
      <c r="BD31" s="23"/>
      <c r="BE31" s="8"/>
      <c r="BF31" s="8"/>
      <c r="BG31" s="8"/>
      <c r="BH31" s="8"/>
    </row>
    <row r="32" spans="2:60" x14ac:dyDescent="0.2">
      <c r="B32" s="495" t="s">
        <v>175</v>
      </c>
      <c r="C32" s="86"/>
      <c r="D32" s="86" t="s">
        <v>227</v>
      </c>
      <c r="E32" s="497" t="s">
        <v>67</v>
      </c>
      <c r="F32" s="509" t="s">
        <v>222</v>
      </c>
      <c r="G32" s="110"/>
      <c r="H32" s="497" t="s">
        <v>215</v>
      </c>
      <c r="I32" s="111">
        <v>4</v>
      </c>
      <c r="J32" s="112" t="str">
        <f>TEXT(ROUND(SOURCE!AE13-SOURCE!AF13,0),"0,0")&amp;"  -  "&amp;TEXT(ROUND(SOURCE!AE13+SOURCE!AF13,0),"0,0")</f>
        <v>520  -  720</v>
      </c>
      <c r="K32" s="112"/>
      <c r="L32" s="112"/>
      <c r="M32" s="112" t="str">
        <f>TEXT(ROUND(SOURCE!AA13-SOURCE!AD13,0),"0,0")&amp;"  -  "&amp;TEXT(ROUND(SOURCE!AA13+SOURCE!AD13,0),"0,0")</f>
        <v>250  -  350</v>
      </c>
      <c r="AC32" s="20">
        <v>3.6</v>
      </c>
      <c r="AD32" s="18">
        <f>AD31-($AD$31-$AD$36)/5</f>
        <v>0.87280000000000002</v>
      </c>
      <c r="AE32" s="18">
        <f>AE31-($AE$31-$AE$36)/5</f>
        <v>1.071</v>
      </c>
      <c r="AF32" s="18">
        <f>AF31-($AF$31-$AF$36)/5</f>
        <v>0.87280000000000002</v>
      </c>
      <c r="AG32" s="18">
        <f>AG31-($AG$31-$AG$36)/5</f>
        <v>1.071</v>
      </c>
      <c r="AH32" s="18">
        <f>AH31-($AH$31-$AH$36)/5</f>
        <v>0.87280000000000002</v>
      </c>
      <c r="AI32" s="18">
        <f t="shared" ref="AI32:AJ35" si="26">AI31-($AI$31-$AI$36)/5</f>
        <v>1.0669999999999999</v>
      </c>
      <c r="AJ32" s="18">
        <f t="shared" si="26"/>
        <v>0.878</v>
      </c>
      <c r="AK32" s="18">
        <f>AK31-($AK$31-$AK$36)/5</f>
        <v>1.052</v>
      </c>
      <c r="AL32" s="50" t="e">
        <f t="shared" si="17"/>
        <v>#N/A</v>
      </c>
      <c r="AM32" s="51" t="e">
        <f t="shared" si="18"/>
        <v>#N/A</v>
      </c>
      <c r="AN32" s="50" t="e">
        <f t="shared" si="19"/>
        <v>#N/A</v>
      </c>
      <c r="AO32" s="50" t="e">
        <f t="shared" si="13"/>
        <v>#N/A</v>
      </c>
      <c r="AP32" s="50" t="e">
        <f t="shared" si="20"/>
        <v>#N/A</v>
      </c>
      <c r="AQ32" s="51" t="e">
        <f t="shared" si="21"/>
        <v>#N/A</v>
      </c>
      <c r="AR32" s="50" t="e">
        <f t="shared" si="14"/>
        <v>#N/A</v>
      </c>
      <c r="AS32" s="50" t="e">
        <f t="shared" si="4"/>
        <v>#N/A</v>
      </c>
      <c r="AT32" s="50" t="e">
        <f t="shared" si="22"/>
        <v>#N/A</v>
      </c>
      <c r="AU32" s="51" t="e">
        <f t="shared" si="23"/>
        <v>#N/A</v>
      </c>
      <c r="AV32" s="50" t="e">
        <f t="shared" si="7"/>
        <v>#N/A</v>
      </c>
      <c r="AW32" s="50" t="e">
        <f t="shared" si="15"/>
        <v>#N/A</v>
      </c>
      <c r="AX32" s="50" t="e">
        <f t="shared" si="24"/>
        <v>#N/A</v>
      </c>
      <c r="AY32" s="51" t="e">
        <f t="shared" si="25"/>
        <v>#N/A</v>
      </c>
      <c r="AZ32" s="50" t="e">
        <f t="shared" si="10"/>
        <v>#N/A</v>
      </c>
      <c r="BA32" s="50" t="e">
        <f t="shared" si="16"/>
        <v>#N/A</v>
      </c>
      <c r="BC32" s="25"/>
      <c r="BD32" s="23"/>
      <c r="BE32" s="8"/>
      <c r="BF32" s="8"/>
      <c r="BG32" s="8"/>
      <c r="BH32" s="8"/>
    </row>
    <row r="33" spans="2:60" x14ac:dyDescent="0.2">
      <c r="B33" s="495"/>
      <c r="C33" s="86"/>
      <c r="D33" s="86" t="s">
        <v>228</v>
      </c>
      <c r="E33" s="497"/>
      <c r="F33" s="509"/>
      <c r="G33" s="110"/>
      <c r="H33" s="497"/>
      <c r="I33" s="111">
        <v>2</v>
      </c>
      <c r="J33" s="112" t="str">
        <f>TEXT(ROUND(SOURCE!AE14-SOURCE!AF14,0),"0,0")&amp;"  -  "&amp;TEXT(ROUND(SOURCE!AE14+SOURCE!AF14,0),"0,0")</f>
        <v>210  -  410</v>
      </c>
      <c r="K33" s="112"/>
      <c r="L33" s="112"/>
      <c r="M33" s="112" t="str">
        <f>TEXT(ROUND(SOURCE!AA14-SOURCE!AD14,0),"0,0")&amp;"  -  "&amp;TEXT(ROUND(SOURCE!AA14+SOURCE!AD14,0),"0,0")</f>
        <v>150  -  250</v>
      </c>
      <c r="AC33" s="20">
        <v>3.7</v>
      </c>
      <c r="AD33" s="18">
        <f>AD32-($AD$31-$AD$36)/5</f>
        <v>0.86960000000000004</v>
      </c>
      <c r="AE33" s="18">
        <f>AE32-($AE$31-$AE$36)/5</f>
        <v>1.0719999999999998</v>
      </c>
      <c r="AF33" s="18">
        <f>AF32-($AF$31-$AF$36)/5</f>
        <v>0.86960000000000004</v>
      </c>
      <c r="AG33" s="18">
        <f>AG32-($AG$31-$AG$36)/5</f>
        <v>1.0719999999999998</v>
      </c>
      <c r="AH33" s="18">
        <f>AH32-($AH$31-$AH$36)/5</f>
        <v>0.86960000000000004</v>
      </c>
      <c r="AI33" s="18">
        <f t="shared" si="26"/>
        <v>1.069</v>
      </c>
      <c r="AJ33" s="18">
        <f t="shared" si="26"/>
        <v>0.88</v>
      </c>
      <c r="AK33" s="18">
        <f>AK32-($AK$31-$AK$36)/5</f>
        <v>1.054</v>
      </c>
      <c r="AL33" s="50" t="e">
        <f t="shared" si="17"/>
        <v>#N/A</v>
      </c>
      <c r="AM33" s="51" t="e">
        <f t="shared" si="18"/>
        <v>#N/A</v>
      </c>
      <c r="AN33" s="50" t="e">
        <f t="shared" si="19"/>
        <v>#N/A</v>
      </c>
      <c r="AO33" s="50" t="e">
        <f t="shared" si="13"/>
        <v>#N/A</v>
      </c>
      <c r="AP33" s="50" t="e">
        <f t="shared" si="20"/>
        <v>#N/A</v>
      </c>
      <c r="AQ33" s="51" t="e">
        <f t="shared" si="21"/>
        <v>#N/A</v>
      </c>
      <c r="AR33" s="50" t="e">
        <f t="shared" si="14"/>
        <v>#N/A</v>
      </c>
      <c r="AS33" s="50" t="e">
        <f t="shared" si="4"/>
        <v>#N/A</v>
      </c>
      <c r="AT33" s="50" t="e">
        <f t="shared" si="22"/>
        <v>#N/A</v>
      </c>
      <c r="AU33" s="51" t="e">
        <f t="shared" si="23"/>
        <v>#N/A</v>
      </c>
      <c r="AV33" s="50" t="e">
        <f t="shared" si="7"/>
        <v>#N/A</v>
      </c>
      <c r="AW33" s="50" t="e">
        <f t="shared" si="15"/>
        <v>#N/A</v>
      </c>
      <c r="AX33" s="50" t="e">
        <f t="shared" si="24"/>
        <v>#N/A</v>
      </c>
      <c r="AY33" s="51" t="e">
        <f t="shared" si="25"/>
        <v>#N/A</v>
      </c>
      <c r="AZ33" s="50" t="e">
        <f t="shared" si="10"/>
        <v>#N/A</v>
      </c>
      <c r="BA33" s="50" t="e">
        <f t="shared" si="16"/>
        <v>#N/A</v>
      </c>
      <c r="BC33" s="25"/>
      <c r="BD33" s="23"/>
      <c r="BE33" s="8"/>
      <c r="BF33" s="8"/>
      <c r="BG33" s="8"/>
      <c r="BH33" s="8"/>
    </row>
    <row r="34" spans="2:60" x14ac:dyDescent="0.2">
      <c r="B34" s="491" t="s">
        <v>175</v>
      </c>
      <c r="C34" s="87"/>
      <c r="D34" s="87" t="s">
        <v>227</v>
      </c>
      <c r="E34" s="487" t="s">
        <v>67</v>
      </c>
      <c r="F34" s="489" t="s">
        <v>218</v>
      </c>
      <c r="G34" s="114"/>
      <c r="H34" s="487" t="s">
        <v>215</v>
      </c>
      <c r="I34" s="117">
        <v>4</v>
      </c>
      <c r="J34" s="115" t="str">
        <f>TEXT(ROUND(SOURCE!AE15-SOURCE!AF15,0),"0,0")&amp;"  -  "&amp;TEXT(ROUND(SOURCE!AE15+SOURCE!AF15,0),"0,0")</f>
        <v>1,450  -  1,850</v>
      </c>
      <c r="K34" s="116"/>
      <c r="L34" s="116"/>
      <c r="M34" s="116" t="str">
        <f>TEXT(ROUND(SOURCE!AA15-SOURCE!AD15,0),"0,0")&amp;"  -  "&amp;TEXT(ROUND(SOURCE!AA15+SOURCE!AD15,0),"0,0")</f>
        <v>1,100  -  1,700</v>
      </c>
      <c r="AC34" s="20">
        <v>3.8</v>
      </c>
      <c r="AD34" s="18">
        <f>AD33-($AD$31-$AD$36)/5</f>
        <v>0.86640000000000006</v>
      </c>
      <c r="AE34" s="18">
        <f>AE33-($AE$31-$AE$36)/5</f>
        <v>1.0729999999999997</v>
      </c>
      <c r="AF34" s="18">
        <f>AF33-($AF$31-$AF$36)/5</f>
        <v>0.86640000000000006</v>
      </c>
      <c r="AG34" s="18">
        <f>AG33-($AG$31-$AG$36)/5</f>
        <v>1.0729999999999997</v>
      </c>
      <c r="AH34" s="18">
        <f>AH33-($AH$31-$AH$36)/5</f>
        <v>0.86640000000000006</v>
      </c>
      <c r="AI34" s="18">
        <f t="shared" si="26"/>
        <v>1.071</v>
      </c>
      <c r="AJ34" s="18">
        <f t="shared" si="26"/>
        <v>0.88200000000000001</v>
      </c>
      <c r="AK34" s="18">
        <f>AK33-($AK$31-$AK$36)/5</f>
        <v>1.056</v>
      </c>
      <c r="AL34" s="50" t="e">
        <f t="shared" si="17"/>
        <v>#N/A</v>
      </c>
      <c r="AM34" s="51" t="e">
        <f t="shared" si="18"/>
        <v>#N/A</v>
      </c>
      <c r="AN34" s="50" t="e">
        <f t="shared" si="19"/>
        <v>#N/A</v>
      </c>
      <c r="AO34" s="50" t="e">
        <f t="shared" si="13"/>
        <v>#N/A</v>
      </c>
      <c r="AP34" s="50" t="e">
        <f t="shared" si="20"/>
        <v>#N/A</v>
      </c>
      <c r="AQ34" s="51" t="e">
        <f t="shared" si="21"/>
        <v>#N/A</v>
      </c>
      <c r="AR34" s="50" t="e">
        <f t="shared" si="14"/>
        <v>#N/A</v>
      </c>
      <c r="AS34" s="50" t="e">
        <f t="shared" si="4"/>
        <v>#N/A</v>
      </c>
      <c r="AT34" s="50" t="e">
        <f t="shared" si="22"/>
        <v>#N/A</v>
      </c>
      <c r="AU34" s="51" t="e">
        <f t="shared" si="23"/>
        <v>#N/A</v>
      </c>
      <c r="AV34" s="50" t="e">
        <f t="shared" si="7"/>
        <v>#N/A</v>
      </c>
      <c r="AW34" s="50" t="e">
        <f t="shared" si="15"/>
        <v>#N/A</v>
      </c>
      <c r="AX34" s="50" t="e">
        <f t="shared" si="24"/>
        <v>#N/A</v>
      </c>
      <c r="AY34" s="51" t="e">
        <f t="shared" si="25"/>
        <v>#N/A</v>
      </c>
      <c r="AZ34" s="50" t="e">
        <f t="shared" si="10"/>
        <v>#N/A</v>
      </c>
      <c r="BA34" s="50" t="e">
        <f t="shared" si="16"/>
        <v>#N/A</v>
      </c>
      <c r="BC34" s="25"/>
      <c r="BD34" s="23"/>
      <c r="BE34" s="8"/>
      <c r="BF34" s="8"/>
      <c r="BG34" s="8"/>
      <c r="BH34" s="8"/>
    </row>
    <row r="35" spans="2:60" x14ac:dyDescent="0.2">
      <c r="B35" s="491"/>
      <c r="C35" s="87"/>
      <c r="D35" s="87" t="s">
        <v>228</v>
      </c>
      <c r="E35" s="487"/>
      <c r="F35" s="489"/>
      <c r="G35" s="114"/>
      <c r="H35" s="487"/>
      <c r="I35" s="117">
        <v>2</v>
      </c>
      <c r="J35" s="115" t="str">
        <f>TEXT(ROUND(SOURCE!AE16-SOURCE!AF16,0),"0,0")&amp;"  -  "&amp;TEXT(ROUND(SOURCE!AE16+SOURCE!AF16,0),"0,0")</f>
        <v>310  -  510</v>
      </c>
      <c r="K35" s="116"/>
      <c r="L35" s="116"/>
      <c r="M35" s="116" t="str">
        <f>TEXT(ROUND(SOURCE!AA16-SOURCE!AD16,0),"0,0")&amp;"  -  "&amp;TEXT(ROUND(SOURCE!AA16+SOURCE!AD16,0),"0,0")</f>
        <v>800  -  1,200</v>
      </c>
      <c r="AC35" s="20">
        <v>3.9</v>
      </c>
      <c r="AD35" s="18">
        <f>AD34-($AD$31-$AD$36)/5</f>
        <v>0.86320000000000008</v>
      </c>
      <c r="AE35" s="18">
        <f>AE34-($AE$31-$AE$36)/5</f>
        <v>1.0739999999999996</v>
      </c>
      <c r="AF35" s="18">
        <f>AF34-($AF$31-$AF$36)/5</f>
        <v>0.86320000000000008</v>
      </c>
      <c r="AG35" s="18">
        <f>AG34-($AG$31-$AG$36)/5</f>
        <v>1.0739999999999996</v>
      </c>
      <c r="AH35" s="18">
        <f>AH34-($AH$31-$AH$36)/5</f>
        <v>0.86320000000000008</v>
      </c>
      <c r="AI35" s="18">
        <f t="shared" si="26"/>
        <v>1.073</v>
      </c>
      <c r="AJ35" s="18">
        <f t="shared" si="26"/>
        <v>0.88400000000000001</v>
      </c>
      <c r="AK35" s="18">
        <f>AK34-($AK$31-$AK$36)/5</f>
        <v>1.0580000000000001</v>
      </c>
      <c r="AL35" s="50" t="e">
        <f t="shared" si="17"/>
        <v>#N/A</v>
      </c>
      <c r="AM35" s="51" t="e">
        <f t="shared" si="18"/>
        <v>#N/A</v>
      </c>
      <c r="AN35" s="50" t="e">
        <f t="shared" si="19"/>
        <v>#N/A</v>
      </c>
      <c r="AO35" s="50" t="e">
        <f t="shared" si="13"/>
        <v>#N/A</v>
      </c>
      <c r="AP35" s="50" t="e">
        <f t="shared" si="20"/>
        <v>#N/A</v>
      </c>
      <c r="AQ35" s="51" t="e">
        <f t="shared" si="21"/>
        <v>#N/A</v>
      </c>
      <c r="AR35" s="50" t="e">
        <f t="shared" si="14"/>
        <v>#N/A</v>
      </c>
      <c r="AS35" s="50" t="e">
        <f t="shared" si="4"/>
        <v>#N/A</v>
      </c>
      <c r="AT35" s="50" t="e">
        <f t="shared" si="22"/>
        <v>#N/A</v>
      </c>
      <c r="AU35" s="51" t="e">
        <f t="shared" si="23"/>
        <v>#N/A</v>
      </c>
      <c r="AV35" s="50" t="e">
        <f t="shared" si="7"/>
        <v>#N/A</v>
      </c>
      <c r="AW35" s="50" t="e">
        <f t="shared" si="15"/>
        <v>#N/A</v>
      </c>
      <c r="AX35" s="50" t="e">
        <f t="shared" si="24"/>
        <v>#N/A</v>
      </c>
      <c r="AY35" s="51" t="e">
        <f t="shared" si="25"/>
        <v>#N/A</v>
      </c>
      <c r="AZ35" s="50" t="e">
        <f t="shared" si="10"/>
        <v>#N/A</v>
      </c>
      <c r="BA35" s="50" t="e">
        <f t="shared" si="16"/>
        <v>#N/A</v>
      </c>
      <c r="BC35" s="25"/>
      <c r="BD35" s="23"/>
      <c r="BE35" s="8"/>
      <c r="BF35" s="8"/>
      <c r="BG35" s="8"/>
      <c r="BH35" s="8"/>
    </row>
    <row r="36" spans="2:60" ht="11.25" customHeight="1" x14ac:dyDescent="0.2">
      <c r="B36" s="495" t="s">
        <v>175</v>
      </c>
      <c r="C36" s="86"/>
      <c r="D36" s="86" t="s">
        <v>194</v>
      </c>
      <c r="E36" s="497" t="s">
        <v>67</v>
      </c>
      <c r="F36" s="509" t="s">
        <v>218</v>
      </c>
      <c r="G36" s="110"/>
      <c r="H36" s="497" t="s">
        <v>215</v>
      </c>
      <c r="I36" s="494">
        <v>4</v>
      </c>
      <c r="J36" s="112" t="str">
        <f>TEXT(ROUND(SOURCE!AE17-SOURCE!AF17,0),"0,0")&amp;"  -  "&amp;TEXT(ROUND(SOURCE!AE17+SOURCE!AF17,0),"0,0")</f>
        <v>6,210  -  8,210</v>
      </c>
      <c r="K36" s="112"/>
      <c r="L36" s="112"/>
      <c r="M36" s="112" t="str">
        <f>TEXT(ROUND(SOURCE!AA17-SOURCE!AD17,0),"0,0")&amp;"  -  "&amp;TEXT(ROUND(SOURCE!AA17+SOURCE!AD17,0),"0,0")</f>
        <v>1,100  -  1,700</v>
      </c>
      <c r="AC36" s="59">
        <v>4</v>
      </c>
      <c r="AD36" s="60">
        <f>SOURCE!BL13</f>
        <v>0.86</v>
      </c>
      <c r="AE36" s="60">
        <f>SOURCE!BM13</f>
        <v>1.075</v>
      </c>
      <c r="AF36" s="60">
        <f>SOURCE!BN13</f>
        <v>0.86</v>
      </c>
      <c r="AG36" s="60">
        <f>SOURCE!BO13</f>
        <v>1.075</v>
      </c>
      <c r="AH36" s="60">
        <f>SOURCE!BP13</f>
        <v>0.86</v>
      </c>
      <c r="AI36" s="60">
        <f>SOURCE!BQ13</f>
        <v>1.075</v>
      </c>
      <c r="AJ36" s="60">
        <f>SOURCE!BR13</f>
        <v>0.86</v>
      </c>
      <c r="AK36" s="60">
        <f>SOURCE!BS13</f>
        <v>1.06</v>
      </c>
      <c r="AL36" s="50" t="e">
        <f t="shared" si="17"/>
        <v>#N/A</v>
      </c>
      <c r="AM36" s="51" t="e">
        <f t="shared" si="18"/>
        <v>#N/A</v>
      </c>
      <c r="AN36" s="50" t="e">
        <f t="shared" si="19"/>
        <v>#N/A</v>
      </c>
      <c r="AO36" s="50" t="e">
        <f t="shared" si="13"/>
        <v>#N/A</v>
      </c>
      <c r="AP36" s="50" t="e">
        <f t="shared" si="20"/>
        <v>#N/A</v>
      </c>
      <c r="AQ36" s="51" t="e">
        <f t="shared" si="21"/>
        <v>#N/A</v>
      </c>
      <c r="AR36" s="50" t="e">
        <f t="shared" si="14"/>
        <v>#N/A</v>
      </c>
      <c r="AS36" s="50" t="e">
        <f t="shared" si="4"/>
        <v>#N/A</v>
      </c>
      <c r="AT36" s="50" t="e">
        <f t="shared" si="22"/>
        <v>#N/A</v>
      </c>
      <c r="AU36" s="51" t="e">
        <f t="shared" si="23"/>
        <v>#N/A</v>
      </c>
      <c r="AV36" s="50" t="e">
        <f t="shared" si="7"/>
        <v>#N/A</v>
      </c>
      <c r="AW36" s="50" t="e">
        <f t="shared" si="15"/>
        <v>#N/A</v>
      </c>
      <c r="AX36" s="50" t="e">
        <f t="shared" si="24"/>
        <v>#N/A</v>
      </c>
      <c r="AY36" s="51" t="e">
        <f t="shared" si="25"/>
        <v>#N/A</v>
      </c>
      <c r="AZ36" s="50" t="e">
        <f t="shared" si="10"/>
        <v>#N/A</v>
      </c>
      <c r="BA36" s="50" t="e">
        <f t="shared" si="16"/>
        <v>#N/A</v>
      </c>
      <c r="BC36" s="25"/>
      <c r="BD36" s="23"/>
      <c r="BE36" s="8"/>
      <c r="BF36" s="8"/>
      <c r="BG36" s="8"/>
      <c r="BH36" s="8"/>
    </row>
    <row r="37" spans="2:60" x14ac:dyDescent="0.2">
      <c r="B37" s="495"/>
      <c r="C37" s="86"/>
      <c r="D37" s="86" t="s">
        <v>195</v>
      </c>
      <c r="E37" s="497"/>
      <c r="F37" s="509"/>
      <c r="G37" s="110"/>
      <c r="H37" s="497"/>
      <c r="I37" s="494"/>
      <c r="J37" s="112" t="str">
        <f>TEXT(ROUND(SOURCE!AE18-SOURCE!AF18,0),"0,0")&amp;"  -  "&amp;TEXT(ROUND(SOURCE!AE18+SOURCE!AF18,0),"0,0")</f>
        <v>20,660  -  24,660</v>
      </c>
      <c r="K37" s="112"/>
      <c r="L37" s="112"/>
      <c r="M37" s="112" t="str">
        <f>TEXT(ROUND(SOURCE!AA18-SOURCE!AD18,0),"0,0")&amp;"  -  "&amp;TEXT(ROUND(SOURCE!AA18+SOURCE!AD18,0),"0,0")</f>
        <v>2,300  -  3,300</v>
      </c>
      <c r="AC37" s="20">
        <v>4.0999999999999996</v>
      </c>
      <c r="AD37" s="18">
        <f>AD36-($AH$36-$AH$41)/5</f>
        <v>0.85799999999999998</v>
      </c>
      <c r="AE37" s="18">
        <f>AE36-($AE$36-$AE$41)/5</f>
        <v>1.0760000000000001</v>
      </c>
      <c r="AF37" s="18">
        <f>AF36-($AF$36-$AF$41)/5</f>
        <v>0.85799999999999998</v>
      </c>
      <c r="AG37" s="18">
        <f>AG36-($AG$36-$AG$41)/5</f>
        <v>1.0760000000000001</v>
      </c>
      <c r="AH37" s="18">
        <f>AH36-($AH$36-$AH$41)/5</f>
        <v>0.85799999999999998</v>
      </c>
      <c r="AI37" s="18">
        <f>AI36-($AI$36-$AI$41)/5</f>
        <v>1.0760000000000001</v>
      </c>
      <c r="AJ37" s="18">
        <f>AJ36-($AJ$36-$AJ$41)/5</f>
        <v>0.85799999999999998</v>
      </c>
      <c r="AK37" s="18">
        <f>AK36-($AK$36-$AK$41)/5</f>
        <v>1.0620000000000001</v>
      </c>
      <c r="AL37" s="50" t="e">
        <f t="shared" si="17"/>
        <v>#N/A</v>
      </c>
      <c r="AM37" s="51" t="e">
        <f t="shared" si="18"/>
        <v>#N/A</v>
      </c>
      <c r="AN37" s="50" t="e">
        <f t="shared" si="19"/>
        <v>#N/A</v>
      </c>
      <c r="AO37" s="50" t="e">
        <f t="shared" si="13"/>
        <v>#N/A</v>
      </c>
      <c r="AP37" s="50" t="e">
        <f t="shared" si="20"/>
        <v>#N/A</v>
      </c>
      <c r="AQ37" s="51" t="e">
        <f t="shared" si="21"/>
        <v>#N/A</v>
      </c>
      <c r="AR37" s="50" t="e">
        <f t="shared" si="14"/>
        <v>#N/A</v>
      </c>
      <c r="AS37" s="50" t="e">
        <f t="shared" si="4"/>
        <v>#N/A</v>
      </c>
      <c r="AT37" s="50" t="e">
        <f t="shared" si="22"/>
        <v>#N/A</v>
      </c>
      <c r="AU37" s="51" t="e">
        <f t="shared" si="23"/>
        <v>#N/A</v>
      </c>
      <c r="AV37" s="50" t="e">
        <f t="shared" si="7"/>
        <v>#N/A</v>
      </c>
      <c r="AW37" s="50" t="e">
        <f t="shared" si="15"/>
        <v>#N/A</v>
      </c>
      <c r="AX37" s="50" t="e">
        <f t="shared" si="24"/>
        <v>#N/A</v>
      </c>
      <c r="AY37" s="51" t="e">
        <f t="shared" si="25"/>
        <v>#N/A</v>
      </c>
      <c r="AZ37" s="50" t="e">
        <f t="shared" si="10"/>
        <v>#N/A</v>
      </c>
      <c r="BA37" s="50" t="e">
        <f t="shared" si="16"/>
        <v>#N/A</v>
      </c>
      <c r="BC37" s="25"/>
      <c r="BD37" s="23"/>
      <c r="BE37" s="8"/>
      <c r="BF37" s="8"/>
      <c r="BG37" s="8"/>
      <c r="BH37" s="8"/>
    </row>
    <row r="38" spans="2:60" x14ac:dyDescent="0.2">
      <c r="B38" s="491" t="s">
        <v>175</v>
      </c>
      <c r="C38" s="87"/>
      <c r="D38" s="487" t="s">
        <v>192</v>
      </c>
      <c r="E38" s="487" t="s">
        <v>67</v>
      </c>
      <c r="F38" s="489" t="s">
        <v>186</v>
      </c>
      <c r="G38" s="114"/>
      <c r="H38" s="487" t="s">
        <v>215</v>
      </c>
      <c r="I38" s="493">
        <v>2</v>
      </c>
      <c r="J38" s="501" t="str">
        <f>TEXT(ROUND(SOURCE!AE9-SOURCE!AF9,0),"0,0")&amp;"  -  "&amp;TEXT(ROUND(SOURCE!AE9+SOURCE!AF9,0),"0,0")</f>
        <v>238,000  -  278,000</v>
      </c>
      <c r="K38" s="507" t="str">
        <f>TEXT(ROUND(SOURCE!Y9-SOURCE!AB9,0),"0,0")&amp;"  -  "&amp;TEXT(ROUND(SOURCE!Y9+SOURCE!AB9,0),"0,0")</f>
        <v>-12  -  12</v>
      </c>
      <c r="L38" s="116"/>
      <c r="M38" s="507"/>
      <c r="AC38" s="20">
        <v>4.2</v>
      </c>
      <c r="AD38" s="18">
        <f>AD37-($AH$36-$AH$41)/5</f>
        <v>0.85599999999999998</v>
      </c>
      <c r="AE38" s="18">
        <f>AE37-($AE$36-$AE$41)/5</f>
        <v>1.0770000000000002</v>
      </c>
      <c r="AF38" s="18">
        <f>AF37-($AF$36-$AF$41)/5</f>
        <v>0.85599999999999998</v>
      </c>
      <c r="AG38" s="18">
        <f>AG37-($AG$36-$AG$41)/5</f>
        <v>1.0770000000000002</v>
      </c>
      <c r="AH38" s="18">
        <f>AH37-($AH$36-$AH$41)/5</f>
        <v>0.85599999999999998</v>
      </c>
      <c r="AI38" s="18">
        <f>AI37-($AI$36-$AI$41)/5</f>
        <v>1.0770000000000002</v>
      </c>
      <c r="AJ38" s="18">
        <f>AJ37-($AJ$36-$AJ$41)/5</f>
        <v>0.85599999999999998</v>
      </c>
      <c r="AK38" s="18">
        <f>AK37-($AK$36-$AK$41)/5</f>
        <v>1.0640000000000001</v>
      </c>
      <c r="AL38" s="50" t="e">
        <f t="shared" si="17"/>
        <v>#N/A</v>
      </c>
      <c r="AM38" s="51" t="e">
        <f t="shared" si="18"/>
        <v>#N/A</v>
      </c>
      <c r="AN38" s="50" t="e">
        <f t="shared" si="19"/>
        <v>#N/A</v>
      </c>
      <c r="AO38" s="50" t="e">
        <f t="shared" si="13"/>
        <v>#N/A</v>
      </c>
      <c r="AP38" s="50" t="e">
        <f t="shared" si="20"/>
        <v>#N/A</v>
      </c>
      <c r="AQ38" s="51" t="e">
        <f t="shared" si="21"/>
        <v>#N/A</v>
      </c>
      <c r="AR38" s="50" t="e">
        <f t="shared" si="14"/>
        <v>#N/A</v>
      </c>
      <c r="AS38" s="50" t="e">
        <f t="shared" si="4"/>
        <v>#N/A</v>
      </c>
      <c r="AT38" s="50" t="e">
        <f t="shared" si="22"/>
        <v>#N/A</v>
      </c>
      <c r="AU38" s="51" t="e">
        <f t="shared" si="23"/>
        <v>#N/A</v>
      </c>
      <c r="AV38" s="50" t="e">
        <f t="shared" si="7"/>
        <v>#N/A</v>
      </c>
      <c r="AW38" s="50" t="e">
        <f t="shared" si="15"/>
        <v>#N/A</v>
      </c>
      <c r="AX38" s="50" t="e">
        <f t="shared" si="24"/>
        <v>#N/A</v>
      </c>
      <c r="AY38" s="51" t="e">
        <f t="shared" si="25"/>
        <v>#N/A</v>
      </c>
      <c r="AZ38" s="50" t="e">
        <f t="shared" si="10"/>
        <v>#N/A</v>
      </c>
      <c r="BA38" s="50" t="e">
        <f t="shared" si="16"/>
        <v>#N/A</v>
      </c>
      <c r="BC38" s="25"/>
      <c r="BD38" s="23"/>
      <c r="BE38" s="8"/>
      <c r="BF38" s="8"/>
      <c r="BG38" s="8"/>
      <c r="BH38" s="8"/>
    </row>
    <row r="39" spans="2:60" x14ac:dyDescent="0.2">
      <c r="B39" s="491"/>
      <c r="C39" s="87"/>
      <c r="D39" s="487"/>
      <c r="E39" s="487"/>
      <c r="F39" s="489"/>
      <c r="G39" s="114"/>
      <c r="H39" s="487"/>
      <c r="I39" s="493"/>
      <c r="J39" s="501"/>
      <c r="K39" s="507"/>
      <c r="L39" s="116"/>
      <c r="M39" s="507"/>
      <c r="AC39" s="20">
        <v>4.3</v>
      </c>
      <c r="AD39" s="18">
        <f>AD38-($AH$36-$AH$41)/5</f>
        <v>0.85399999999999998</v>
      </c>
      <c r="AE39" s="18">
        <f>AE38-($AE$36-$AE$41)/5</f>
        <v>1.0780000000000003</v>
      </c>
      <c r="AF39" s="18">
        <f>AF38-($AF$36-$AF$41)/5</f>
        <v>0.85399999999999998</v>
      </c>
      <c r="AG39" s="18">
        <f>AG38-($AG$36-$AG$41)/5</f>
        <v>1.0780000000000003</v>
      </c>
      <c r="AH39" s="18">
        <f>AH38-($AH$36-$AH$41)/5</f>
        <v>0.85399999999999998</v>
      </c>
      <c r="AI39" s="18">
        <f>AI38-($AI$36-$AI$41)/5</f>
        <v>1.0780000000000003</v>
      </c>
      <c r="AJ39" s="18">
        <f>AJ38-($AJ$36-$AJ$41)/5</f>
        <v>0.85399999999999998</v>
      </c>
      <c r="AK39" s="18">
        <f>AK38-($AK$36-$AK$41)/5</f>
        <v>1.0660000000000001</v>
      </c>
      <c r="AL39" s="50" t="e">
        <f t="shared" si="17"/>
        <v>#N/A</v>
      </c>
      <c r="AM39" s="51" t="e">
        <f t="shared" si="18"/>
        <v>#N/A</v>
      </c>
      <c r="AN39" s="50" t="e">
        <f t="shared" si="19"/>
        <v>#N/A</v>
      </c>
      <c r="AO39" s="50" t="e">
        <f t="shared" si="13"/>
        <v>#N/A</v>
      </c>
      <c r="AP39" s="50" t="e">
        <f t="shared" si="20"/>
        <v>#N/A</v>
      </c>
      <c r="AQ39" s="51" t="e">
        <f t="shared" si="21"/>
        <v>#N/A</v>
      </c>
      <c r="AR39" s="50" t="e">
        <f t="shared" si="14"/>
        <v>#N/A</v>
      </c>
      <c r="AS39" s="50" t="e">
        <f t="shared" si="4"/>
        <v>#N/A</v>
      </c>
      <c r="AT39" s="50" t="e">
        <f t="shared" si="22"/>
        <v>#N/A</v>
      </c>
      <c r="AU39" s="51" t="e">
        <f t="shared" si="23"/>
        <v>#N/A</v>
      </c>
      <c r="AV39" s="50" t="e">
        <f t="shared" si="7"/>
        <v>#N/A</v>
      </c>
      <c r="AW39" s="50" t="e">
        <f t="shared" si="15"/>
        <v>#N/A</v>
      </c>
      <c r="AX39" s="50" t="e">
        <f t="shared" si="24"/>
        <v>#N/A</v>
      </c>
      <c r="AY39" s="51" t="e">
        <f t="shared" si="25"/>
        <v>#N/A</v>
      </c>
      <c r="AZ39" s="50" t="e">
        <f t="shared" si="10"/>
        <v>#N/A</v>
      </c>
      <c r="BA39" s="50" t="e">
        <f t="shared" si="16"/>
        <v>#N/A</v>
      </c>
      <c r="BC39" s="25"/>
      <c r="BD39" s="23"/>
      <c r="BE39" s="8"/>
      <c r="BF39" s="8"/>
      <c r="BG39" s="8"/>
      <c r="BH39" s="8"/>
    </row>
    <row r="40" spans="2:60" x14ac:dyDescent="0.2">
      <c r="B40" s="495" t="s">
        <v>175</v>
      </c>
      <c r="C40" s="86"/>
      <c r="D40" s="509" t="s">
        <v>193</v>
      </c>
      <c r="E40" s="497" t="s">
        <v>67</v>
      </c>
      <c r="F40" s="509" t="s">
        <v>186</v>
      </c>
      <c r="G40" s="110"/>
      <c r="H40" s="497" t="s">
        <v>215</v>
      </c>
      <c r="I40" s="494">
        <v>2</v>
      </c>
      <c r="J40" s="502" t="str">
        <f>TEXT(ROUND(SOURCE!AE8-SOURCE!AF8,0),"0,0")&amp;"  -  "&amp;TEXT(ROUND(SOURCE!AE8+SOURCE!AF8,0),"0,0")</f>
        <v>27,000  -  31,000</v>
      </c>
      <c r="K40" s="502"/>
      <c r="L40" s="502" t="str">
        <f>TEXT(ROUND(SOURCE!Z8-SOURCE!AC8,0),"0,0")&amp;"  -  "&amp;TEXT(ROUND(SOURCE!Z8+SOURCE!AC8,0),"0,0")</f>
        <v>15,000  -  25,000</v>
      </c>
      <c r="M40" s="112"/>
      <c r="AC40" s="20">
        <v>4.4000000000000004</v>
      </c>
      <c r="AD40" s="18">
        <f>AD39-($AH$36-$AH$41)/5</f>
        <v>0.85199999999999998</v>
      </c>
      <c r="AE40" s="18">
        <f>AE39-($AE$36-$AE$41)/5</f>
        <v>1.0790000000000004</v>
      </c>
      <c r="AF40" s="18">
        <f>AF39-($AF$36-$AF$41)/5</f>
        <v>0.85199999999999998</v>
      </c>
      <c r="AG40" s="18">
        <f>AG39-($AG$36-$AG$41)/5</f>
        <v>1.0790000000000004</v>
      </c>
      <c r="AH40" s="18">
        <f>AH39-($AH$36-$AH$41)/5</f>
        <v>0.85199999999999998</v>
      </c>
      <c r="AI40" s="18">
        <f>AI39-($AI$36-$AI$41)/5</f>
        <v>1.0790000000000004</v>
      </c>
      <c r="AJ40" s="18">
        <f>AJ39-($AJ$36-$AJ$41)/5</f>
        <v>0.85199999999999998</v>
      </c>
      <c r="AK40" s="18">
        <f>AK39-($AK$36-$AK$41)/5</f>
        <v>1.0680000000000001</v>
      </c>
      <c r="AL40" s="50" t="e">
        <f t="shared" si="17"/>
        <v>#N/A</v>
      </c>
      <c r="AM40" s="51" t="e">
        <f t="shared" si="18"/>
        <v>#N/A</v>
      </c>
      <c r="AN40" s="50" t="e">
        <f t="shared" si="19"/>
        <v>#N/A</v>
      </c>
      <c r="AO40" s="50" t="e">
        <f t="shared" si="13"/>
        <v>#N/A</v>
      </c>
      <c r="AP40" s="50" t="e">
        <f t="shared" si="20"/>
        <v>#N/A</v>
      </c>
      <c r="AQ40" s="51" t="e">
        <f t="shared" si="21"/>
        <v>#N/A</v>
      </c>
      <c r="AR40" s="50" t="e">
        <f t="shared" si="14"/>
        <v>#N/A</v>
      </c>
      <c r="AS40" s="50" t="e">
        <f t="shared" si="4"/>
        <v>#N/A</v>
      </c>
      <c r="AT40" s="50" t="e">
        <f t="shared" si="22"/>
        <v>#N/A</v>
      </c>
      <c r="AU40" s="51" t="e">
        <f t="shared" si="23"/>
        <v>#N/A</v>
      </c>
      <c r="AV40" s="50" t="e">
        <f t="shared" si="7"/>
        <v>#N/A</v>
      </c>
      <c r="AW40" s="50" t="e">
        <f t="shared" si="15"/>
        <v>#N/A</v>
      </c>
      <c r="AX40" s="50" t="e">
        <f t="shared" si="24"/>
        <v>#N/A</v>
      </c>
      <c r="AY40" s="51" t="e">
        <f t="shared" si="25"/>
        <v>#N/A</v>
      </c>
      <c r="AZ40" s="50" t="e">
        <f t="shared" si="10"/>
        <v>#N/A</v>
      </c>
      <c r="BA40" s="50" t="e">
        <f t="shared" si="16"/>
        <v>#N/A</v>
      </c>
      <c r="BC40" s="25"/>
      <c r="BD40" s="23"/>
      <c r="BE40" s="8"/>
      <c r="BF40" s="8"/>
      <c r="BG40" s="8"/>
      <c r="BH40" s="8"/>
    </row>
    <row r="41" spans="2:60" x14ac:dyDescent="0.2">
      <c r="B41" s="495"/>
      <c r="C41" s="86"/>
      <c r="D41" s="509"/>
      <c r="E41" s="497"/>
      <c r="F41" s="509"/>
      <c r="G41" s="110"/>
      <c r="H41" s="497"/>
      <c r="I41" s="494"/>
      <c r="J41" s="502"/>
      <c r="K41" s="502"/>
      <c r="L41" s="502"/>
      <c r="M41" s="112"/>
      <c r="AC41" s="59">
        <v>4.5</v>
      </c>
      <c r="AD41" s="60">
        <f>SOURCE!BL14</f>
        <v>0.85</v>
      </c>
      <c r="AE41" s="60">
        <f>SOURCE!BM14</f>
        <v>1.08</v>
      </c>
      <c r="AF41" s="60">
        <f>SOURCE!BN14</f>
        <v>0.85</v>
      </c>
      <c r="AG41" s="60">
        <f>SOURCE!BO14</f>
        <v>1.08</v>
      </c>
      <c r="AH41" s="60">
        <f>SOURCE!BP14</f>
        <v>0.85</v>
      </c>
      <c r="AI41" s="60">
        <f>SOURCE!BQ14</f>
        <v>1.08</v>
      </c>
      <c r="AJ41" s="60">
        <f>SOURCE!BR14</f>
        <v>0.85</v>
      </c>
      <c r="AK41" s="60">
        <f>SOURCE!BS14</f>
        <v>1.07</v>
      </c>
      <c r="AL41" s="50" t="e">
        <f t="shared" si="17"/>
        <v>#N/A</v>
      </c>
      <c r="AM41" s="51" t="e">
        <f t="shared" si="18"/>
        <v>#N/A</v>
      </c>
      <c r="AN41" s="50" t="e">
        <f t="shared" si="19"/>
        <v>#N/A</v>
      </c>
      <c r="AO41" s="50" t="e">
        <f t="shared" si="13"/>
        <v>#N/A</v>
      </c>
      <c r="AP41" s="50" t="e">
        <f t="shared" si="20"/>
        <v>#N/A</v>
      </c>
      <c r="AQ41" s="51" t="e">
        <f t="shared" si="21"/>
        <v>#N/A</v>
      </c>
      <c r="AR41" s="50" t="e">
        <f t="shared" si="14"/>
        <v>#N/A</v>
      </c>
      <c r="AS41" s="50" t="e">
        <f t="shared" si="4"/>
        <v>#N/A</v>
      </c>
      <c r="AT41" s="50" t="e">
        <f t="shared" si="22"/>
        <v>#N/A</v>
      </c>
      <c r="AU41" s="51" t="e">
        <f t="shared" si="23"/>
        <v>#N/A</v>
      </c>
      <c r="AV41" s="50" t="e">
        <f t="shared" si="7"/>
        <v>#N/A</v>
      </c>
      <c r="AW41" s="50" t="e">
        <f t="shared" si="15"/>
        <v>#N/A</v>
      </c>
      <c r="AX41" s="50" t="e">
        <f t="shared" si="24"/>
        <v>#N/A</v>
      </c>
      <c r="AY41" s="51" t="e">
        <f t="shared" si="25"/>
        <v>#N/A</v>
      </c>
      <c r="AZ41" s="50" t="e">
        <f t="shared" si="10"/>
        <v>#N/A</v>
      </c>
      <c r="BA41" s="50" t="e">
        <f t="shared" si="16"/>
        <v>#N/A</v>
      </c>
      <c r="BC41" s="25"/>
      <c r="BD41" s="23"/>
      <c r="BE41" s="8"/>
      <c r="BF41" s="8"/>
      <c r="BG41" s="8"/>
      <c r="BH41" s="8"/>
    </row>
    <row r="42" spans="2:60" x14ac:dyDescent="0.2">
      <c r="B42" s="101"/>
      <c r="C42" s="101"/>
      <c r="D42" s="101"/>
      <c r="E42" s="101"/>
      <c r="F42" s="101"/>
      <c r="G42" s="101"/>
      <c r="H42" s="101"/>
      <c r="I42" s="101"/>
      <c r="J42" s="101"/>
      <c r="K42" s="101"/>
      <c r="L42" s="101"/>
      <c r="M42" s="101"/>
      <c r="AC42" s="20">
        <v>4.5999999999999996</v>
      </c>
      <c r="AD42" s="18">
        <f>AD41-($AD$41-$AD$46)/5</f>
        <v>0.84799999999999998</v>
      </c>
      <c r="AE42" s="18">
        <f>AE41-($AE$41-$AE$46)/5</f>
        <v>1.081</v>
      </c>
      <c r="AF42" s="18">
        <f>AF41-($AF$41-$AF$46)/5</f>
        <v>0.84799999999999998</v>
      </c>
      <c r="AG42" s="18">
        <f>AG41-($AG$41-$AG$46)/5</f>
        <v>1.081</v>
      </c>
      <c r="AH42" s="18">
        <f>AH41-($AH$41-$AH$46)/5</f>
        <v>0.84799999999999998</v>
      </c>
      <c r="AI42" s="18">
        <f>AI41-($AI$41-$AI$46)/5</f>
        <v>1.081</v>
      </c>
      <c r="AJ42" s="18">
        <f>AJ41-($AJ$41-$AJ$46)/5</f>
        <v>0.84799999999999998</v>
      </c>
      <c r="AK42" s="18">
        <f>AK41-($AK$41-$AK$46)/5</f>
        <v>1.0720000000000001</v>
      </c>
      <c r="AL42" s="50" t="e">
        <f t="shared" si="17"/>
        <v>#N/A</v>
      </c>
      <c r="AM42" s="51" t="e">
        <f t="shared" si="18"/>
        <v>#N/A</v>
      </c>
      <c r="AN42" s="50" t="e">
        <f t="shared" si="19"/>
        <v>#N/A</v>
      </c>
      <c r="AO42" s="50" t="e">
        <f t="shared" si="13"/>
        <v>#N/A</v>
      </c>
      <c r="AP42" s="50" t="e">
        <f t="shared" si="20"/>
        <v>#N/A</v>
      </c>
      <c r="AQ42" s="51" t="e">
        <f t="shared" si="21"/>
        <v>#N/A</v>
      </c>
      <c r="AR42" s="50" t="e">
        <f t="shared" si="14"/>
        <v>#N/A</v>
      </c>
      <c r="AS42" s="50" t="e">
        <f t="shared" si="4"/>
        <v>#N/A</v>
      </c>
      <c r="AT42" s="50" t="e">
        <f t="shared" si="22"/>
        <v>#N/A</v>
      </c>
      <c r="AU42" s="51" t="e">
        <f t="shared" si="23"/>
        <v>#N/A</v>
      </c>
      <c r="AV42" s="50" t="e">
        <f t="shared" si="7"/>
        <v>#N/A</v>
      </c>
      <c r="AW42" s="50" t="e">
        <f t="shared" si="15"/>
        <v>#N/A</v>
      </c>
      <c r="AX42" s="50" t="e">
        <f t="shared" si="24"/>
        <v>#N/A</v>
      </c>
      <c r="AY42" s="51" t="e">
        <f t="shared" si="25"/>
        <v>#N/A</v>
      </c>
      <c r="AZ42" s="50" t="e">
        <f t="shared" si="10"/>
        <v>#N/A</v>
      </c>
      <c r="BA42" s="50" t="e">
        <f t="shared" si="16"/>
        <v>#N/A</v>
      </c>
      <c r="BC42" s="25"/>
      <c r="BD42" s="23"/>
      <c r="BE42" s="8"/>
      <c r="BF42" s="8"/>
      <c r="BG42" s="8"/>
      <c r="BH42" s="8"/>
    </row>
    <row r="43" spans="2:60" x14ac:dyDescent="0.2">
      <c r="B43" s="101"/>
      <c r="C43" s="101"/>
      <c r="D43" s="101"/>
      <c r="E43" s="101"/>
      <c r="F43" s="101"/>
      <c r="G43" s="101"/>
      <c r="H43" s="101"/>
      <c r="I43" s="101"/>
      <c r="J43" s="101"/>
      <c r="K43" s="101"/>
      <c r="L43" s="101"/>
      <c r="M43" s="101"/>
      <c r="AC43" s="20">
        <v>4.7</v>
      </c>
      <c r="AD43" s="18">
        <f>AD42-($AD$41-$AD$46)/5</f>
        <v>0.84599999999999997</v>
      </c>
      <c r="AE43" s="18">
        <f>AE42-($AE$41-$AE$46)/5</f>
        <v>1.0819999999999999</v>
      </c>
      <c r="AF43" s="18">
        <f>AF42-($AF$41-$AF$46)/5</f>
        <v>0.84599999999999997</v>
      </c>
      <c r="AG43" s="18">
        <f>AG42-($AG$41-$AG$46)/5</f>
        <v>1.0819999999999999</v>
      </c>
      <c r="AH43" s="18">
        <f>AH42-($AH$41-$AH$46)/5</f>
        <v>0.84599999999999997</v>
      </c>
      <c r="AI43" s="18">
        <f>AI42-($AI$41-$AI$46)/5</f>
        <v>1.0819999999999999</v>
      </c>
      <c r="AJ43" s="18">
        <f>AJ42-($AJ$41-$AJ$46)/5</f>
        <v>0.84599999999999997</v>
      </c>
      <c r="AK43" s="18">
        <f>AK42-($AK$41-$AK$46)/5</f>
        <v>1.0740000000000001</v>
      </c>
      <c r="AL43" s="50" t="e">
        <f t="shared" si="17"/>
        <v>#N/A</v>
      </c>
      <c r="AM43" s="51" t="e">
        <f t="shared" si="18"/>
        <v>#N/A</v>
      </c>
      <c r="AN43" s="50" t="e">
        <f t="shared" si="19"/>
        <v>#N/A</v>
      </c>
      <c r="AO43" s="50" t="e">
        <f t="shared" si="13"/>
        <v>#N/A</v>
      </c>
      <c r="AP43" s="50" t="e">
        <f t="shared" si="20"/>
        <v>#N/A</v>
      </c>
      <c r="AQ43" s="51" t="e">
        <f t="shared" si="21"/>
        <v>#N/A</v>
      </c>
      <c r="AR43" s="50" t="e">
        <f t="shared" si="14"/>
        <v>#N/A</v>
      </c>
      <c r="AS43" s="50" t="e">
        <f t="shared" si="4"/>
        <v>#N/A</v>
      </c>
      <c r="AT43" s="50" t="e">
        <f t="shared" si="22"/>
        <v>#N/A</v>
      </c>
      <c r="AU43" s="51" t="e">
        <f t="shared" si="23"/>
        <v>#N/A</v>
      </c>
      <c r="AV43" s="50" t="e">
        <f t="shared" si="7"/>
        <v>#N/A</v>
      </c>
      <c r="AW43" s="50" t="e">
        <f t="shared" si="15"/>
        <v>#N/A</v>
      </c>
      <c r="AX43" s="50" t="e">
        <f t="shared" si="24"/>
        <v>#N/A</v>
      </c>
      <c r="AY43" s="51" t="e">
        <f t="shared" si="25"/>
        <v>#N/A</v>
      </c>
      <c r="AZ43" s="50" t="e">
        <f t="shared" si="10"/>
        <v>#N/A</v>
      </c>
      <c r="BA43" s="50" t="e">
        <f t="shared" si="16"/>
        <v>#N/A</v>
      </c>
      <c r="BC43" s="25"/>
      <c r="BD43" s="23"/>
      <c r="BE43" s="8"/>
      <c r="BF43" s="8"/>
      <c r="BG43" s="8"/>
      <c r="BH43" s="8"/>
    </row>
    <row r="44" spans="2:60" x14ac:dyDescent="0.2">
      <c r="B44" s="101"/>
      <c r="C44" s="101"/>
      <c r="D44" s="101"/>
      <c r="E44" s="101"/>
      <c r="F44" s="101"/>
      <c r="G44" s="101"/>
      <c r="H44" s="101"/>
      <c r="I44" s="101"/>
      <c r="J44" s="101"/>
      <c r="K44" s="101"/>
      <c r="L44" s="101"/>
      <c r="M44" s="101"/>
      <c r="AC44" s="20">
        <v>4.8</v>
      </c>
      <c r="AD44" s="18">
        <f>AD43-($AD$41-$AD$46)/5</f>
        <v>0.84399999999999997</v>
      </c>
      <c r="AE44" s="18">
        <f>AE43-($AE$41-$AE$46)/5</f>
        <v>1.0829999999999997</v>
      </c>
      <c r="AF44" s="18">
        <f>AF43-($AF$41-$AF$46)/5</f>
        <v>0.84399999999999997</v>
      </c>
      <c r="AG44" s="18">
        <f>AG43-($AG$41-$AG$46)/5</f>
        <v>1.0829999999999997</v>
      </c>
      <c r="AH44" s="18">
        <f>AH43-($AH$41-$AH$46)/5</f>
        <v>0.84399999999999997</v>
      </c>
      <c r="AI44" s="18">
        <f>AI43-($AI$41-$AI$46)/5</f>
        <v>1.0829999999999997</v>
      </c>
      <c r="AJ44" s="18">
        <f>AJ43-($AJ$41-$AJ$46)/5</f>
        <v>0.84399999999999997</v>
      </c>
      <c r="AK44" s="18">
        <f>AK43-($AK$41-$AK$46)/5</f>
        <v>1.0760000000000001</v>
      </c>
      <c r="AL44" s="50" t="e">
        <f t="shared" si="17"/>
        <v>#N/A</v>
      </c>
      <c r="AM44" s="51" t="e">
        <f t="shared" si="18"/>
        <v>#N/A</v>
      </c>
      <c r="AN44" s="50" t="e">
        <f t="shared" si="19"/>
        <v>#N/A</v>
      </c>
      <c r="AO44" s="50" t="e">
        <f t="shared" si="13"/>
        <v>#N/A</v>
      </c>
      <c r="AP44" s="50" t="e">
        <f t="shared" si="20"/>
        <v>#N/A</v>
      </c>
      <c r="AQ44" s="51" t="e">
        <f t="shared" si="21"/>
        <v>#N/A</v>
      </c>
      <c r="AR44" s="50" t="e">
        <f t="shared" si="14"/>
        <v>#N/A</v>
      </c>
      <c r="AS44" s="50" t="e">
        <f t="shared" si="4"/>
        <v>#N/A</v>
      </c>
      <c r="AT44" s="50" t="e">
        <f t="shared" si="22"/>
        <v>#N/A</v>
      </c>
      <c r="AU44" s="51" t="e">
        <f t="shared" si="23"/>
        <v>#N/A</v>
      </c>
      <c r="AV44" s="50" t="e">
        <f t="shared" si="7"/>
        <v>#N/A</v>
      </c>
      <c r="AW44" s="50" t="e">
        <f t="shared" si="15"/>
        <v>#N/A</v>
      </c>
      <c r="AX44" s="50" t="e">
        <f t="shared" si="24"/>
        <v>#N/A</v>
      </c>
      <c r="AY44" s="51" t="e">
        <f t="shared" si="25"/>
        <v>#N/A</v>
      </c>
      <c r="AZ44" s="50" t="e">
        <f t="shared" si="10"/>
        <v>#N/A</v>
      </c>
      <c r="BA44" s="50" t="e">
        <f t="shared" si="16"/>
        <v>#N/A</v>
      </c>
      <c r="BC44" s="25"/>
      <c r="BD44" s="23"/>
      <c r="BE44" s="8"/>
      <c r="BF44" s="8"/>
      <c r="BG44" s="8"/>
      <c r="BH44" s="8"/>
    </row>
    <row r="45" spans="2:60" x14ac:dyDescent="0.2">
      <c r="B45" s="101"/>
      <c r="C45" s="101"/>
      <c r="D45" s="101"/>
      <c r="E45" s="101"/>
      <c r="F45" s="101"/>
      <c r="G45" s="101"/>
      <c r="H45" s="101"/>
      <c r="I45" s="101"/>
      <c r="J45" s="101"/>
      <c r="K45" s="101"/>
      <c r="L45" s="101"/>
      <c r="M45" s="101"/>
      <c r="AC45" s="20">
        <v>4.9000000000000004</v>
      </c>
      <c r="AD45" s="18">
        <f>AD44-($AD$41-$AD$46)/5</f>
        <v>0.84199999999999997</v>
      </c>
      <c r="AE45" s="18">
        <f>AE44-($AE$41-$AE$46)/5</f>
        <v>1.0839999999999996</v>
      </c>
      <c r="AF45" s="18">
        <f>AF44-($AF$41-$AF$46)/5</f>
        <v>0.84199999999999997</v>
      </c>
      <c r="AG45" s="18">
        <f>AG44-($AG$41-$AG$46)/5</f>
        <v>1.0839999999999996</v>
      </c>
      <c r="AH45" s="18">
        <f>AH44-($AH$41-$AH$46)/5</f>
        <v>0.84199999999999997</v>
      </c>
      <c r="AI45" s="18">
        <f>AI44-($AI$41-$AI$46)/5</f>
        <v>1.0839999999999996</v>
      </c>
      <c r="AJ45" s="18">
        <f>AJ44-($AJ$41-$AJ$46)/5</f>
        <v>0.84199999999999997</v>
      </c>
      <c r="AK45" s="18">
        <f>AK44-($AK$41-$AK$46)/5</f>
        <v>1.0780000000000001</v>
      </c>
      <c r="AL45" s="50" t="e">
        <f t="shared" si="17"/>
        <v>#N/A</v>
      </c>
      <c r="AM45" s="51" t="e">
        <f t="shared" si="18"/>
        <v>#N/A</v>
      </c>
      <c r="AN45" s="50" t="e">
        <f t="shared" si="19"/>
        <v>#N/A</v>
      </c>
      <c r="AO45" s="50" t="e">
        <f t="shared" si="13"/>
        <v>#N/A</v>
      </c>
      <c r="AP45" s="50" t="e">
        <f t="shared" si="20"/>
        <v>#N/A</v>
      </c>
      <c r="AQ45" s="51" t="e">
        <f t="shared" si="21"/>
        <v>#N/A</v>
      </c>
      <c r="AR45" s="50" t="e">
        <f t="shared" si="14"/>
        <v>#N/A</v>
      </c>
      <c r="AS45" s="50" t="e">
        <f t="shared" si="4"/>
        <v>#N/A</v>
      </c>
      <c r="AT45" s="50" t="e">
        <f t="shared" si="22"/>
        <v>#N/A</v>
      </c>
      <c r="AU45" s="51" t="e">
        <f t="shared" si="23"/>
        <v>#N/A</v>
      </c>
      <c r="AV45" s="50" t="e">
        <f t="shared" si="7"/>
        <v>#N/A</v>
      </c>
      <c r="AW45" s="50" t="e">
        <f t="shared" si="15"/>
        <v>#N/A</v>
      </c>
      <c r="AX45" s="50" t="e">
        <f t="shared" si="24"/>
        <v>#N/A</v>
      </c>
      <c r="AY45" s="51" t="e">
        <f t="shared" si="25"/>
        <v>#N/A</v>
      </c>
      <c r="AZ45" s="50" t="e">
        <f t="shared" si="10"/>
        <v>#N/A</v>
      </c>
      <c r="BA45" s="50" t="e">
        <f t="shared" si="16"/>
        <v>#N/A</v>
      </c>
      <c r="BC45" s="25"/>
      <c r="BD45" s="23"/>
      <c r="BE45" s="8"/>
      <c r="BF45" s="8"/>
      <c r="BG45" s="8"/>
      <c r="BH45" s="8"/>
    </row>
    <row r="46" spans="2:60" x14ac:dyDescent="0.2">
      <c r="B46" s="101"/>
      <c r="C46" s="101"/>
      <c r="D46" s="101"/>
      <c r="E46" s="101"/>
      <c r="F46" s="101"/>
      <c r="G46" s="101"/>
      <c r="H46" s="101"/>
      <c r="I46" s="101"/>
      <c r="J46" s="101"/>
      <c r="K46" s="101"/>
      <c r="L46" s="101"/>
      <c r="M46" s="101"/>
      <c r="AC46" s="59">
        <v>5</v>
      </c>
      <c r="AD46" s="60">
        <f>SOURCE!BL15</f>
        <v>0.84</v>
      </c>
      <c r="AE46" s="60">
        <f>SOURCE!BM15</f>
        <v>1.085</v>
      </c>
      <c r="AF46" s="60">
        <f>SOURCE!BN15</f>
        <v>0.84</v>
      </c>
      <c r="AG46" s="60">
        <f>SOURCE!BO15</f>
        <v>1.085</v>
      </c>
      <c r="AH46" s="60">
        <f>SOURCE!BP15</f>
        <v>0.84</v>
      </c>
      <c r="AI46" s="60">
        <f>SOURCE!BQ15</f>
        <v>1.085</v>
      </c>
      <c r="AJ46" s="60">
        <f>SOURCE!BR15</f>
        <v>0.84</v>
      </c>
      <c r="AK46" s="60">
        <f>SOURCE!BS15</f>
        <v>1.08</v>
      </c>
      <c r="AL46" s="50" t="e">
        <f t="shared" si="17"/>
        <v>#N/A</v>
      </c>
      <c r="AM46" s="51" t="e">
        <f t="shared" si="18"/>
        <v>#N/A</v>
      </c>
      <c r="AN46" s="50" t="e">
        <f t="shared" si="19"/>
        <v>#N/A</v>
      </c>
      <c r="AO46" s="50" t="e">
        <f t="shared" si="13"/>
        <v>#N/A</v>
      </c>
      <c r="AP46" s="50" t="e">
        <f t="shared" si="20"/>
        <v>#N/A</v>
      </c>
      <c r="AQ46" s="51" t="e">
        <f t="shared" si="21"/>
        <v>#N/A</v>
      </c>
      <c r="AR46" s="50" t="e">
        <f t="shared" si="14"/>
        <v>#N/A</v>
      </c>
      <c r="AS46" s="50" t="e">
        <f t="shared" si="4"/>
        <v>#N/A</v>
      </c>
      <c r="AT46" s="50" t="e">
        <f t="shared" si="22"/>
        <v>#N/A</v>
      </c>
      <c r="AU46" s="51" t="e">
        <f t="shared" si="23"/>
        <v>#N/A</v>
      </c>
      <c r="AV46" s="50" t="e">
        <f t="shared" si="7"/>
        <v>#N/A</v>
      </c>
      <c r="AW46" s="50" t="e">
        <f t="shared" si="15"/>
        <v>#N/A</v>
      </c>
      <c r="AX46" s="50" t="e">
        <f t="shared" si="24"/>
        <v>#N/A</v>
      </c>
      <c r="AY46" s="51" t="e">
        <f t="shared" si="25"/>
        <v>#N/A</v>
      </c>
      <c r="AZ46" s="50" t="e">
        <f t="shared" si="10"/>
        <v>#N/A</v>
      </c>
      <c r="BA46" s="50" t="e">
        <f t="shared" si="16"/>
        <v>#N/A</v>
      </c>
      <c r="BC46" s="25"/>
      <c r="BD46" s="23"/>
      <c r="BE46" s="8"/>
      <c r="BF46" s="8"/>
      <c r="BG46" s="8"/>
      <c r="BH46" s="8"/>
    </row>
    <row r="47" spans="2:60" x14ac:dyDescent="0.2">
      <c r="B47" s="101"/>
      <c r="C47" s="101"/>
      <c r="D47" s="101"/>
      <c r="E47" s="101"/>
      <c r="F47" s="101"/>
      <c r="G47" s="101"/>
      <c r="H47" s="101"/>
      <c r="I47" s="101"/>
      <c r="J47" s="101"/>
      <c r="K47" s="101"/>
      <c r="L47" s="101"/>
      <c r="M47" s="101"/>
    </row>
    <row r="48" spans="2:60" x14ac:dyDescent="0.2">
      <c r="B48" s="101"/>
      <c r="C48" s="101"/>
      <c r="D48" s="101"/>
      <c r="E48" s="101"/>
      <c r="F48" s="101"/>
      <c r="G48" s="101"/>
      <c r="H48" s="101"/>
      <c r="I48" s="101"/>
      <c r="J48" s="101"/>
      <c r="K48" s="101"/>
      <c r="L48" s="101"/>
      <c r="M48" s="101"/>
    </row>
    <row r="49" spans="2:13" x14ac:dyDescent="0.2">
      <c r="B49" s="101"/>
      <c r="C49" s="101"/>
      <c r="D49" s="101"/>
      <c r="E49" s="101"/>
      <c r="F49" s="101"/>
      <c r="G49" s="101"/>
      <c r="H49" s="101"/>
      <c r="I49" s="101"/>
      <c r="J49" s="101"/>
      <c r="K49" s="101"/>
      <c r="L49" s="101"/>
      <c r="M49" s="101"/>
    </row>
    <row r="50" spans="2:13" x14ac:dyDescent="0.2">
      <c r="B50" s="101"/>
      <c r="C50" s="101"/>
      <c r="D50" s="101"/>
      <c r="E50" s="101"/>
      <c r="F50" s="101"/>
      <c r="G50" s="101"/>
      <c r="H50" s="101"/>
      <c r="I50" s="101"/>
      <c r="J50" s="101"/>
      <c r="K50" s="101"/>
      <c r="L50" s="101"/>
      <c r="M50" s="101"/>
    </row>
    <row r="51" spans="2:13" x14ac:dyDescent="0.2">
      <c r="B51" s="101"/>
      <c r="C51" s="101"/>
      <c r="D51" s="101"/>
      <c r="E51" s="101"/>
      <c r="F51" s="101"/>
      <c r="G51" s="101"/>
      <c r="H51" s="101"/>
      <c r="I51" s="101"/>
      <c r="J51" s="101"/>
      <c r="K51" s="101"/>
      <c r="L51" s="101"/>
      <c r="M51" s="101"/>
    </row>
    <row r="52" spans="2:13" x14ac:dyDescent="0.2">
      <c r="B52" s="101"/>
      <c r="C52" s="101"/>
      <c r="D52" s="101"/>
      <c r="E52" s="101"/>
      <c r="F52" s="101"/>
      <c r="G52" s="101"/>
      <c r="H52" s="101"/>
      <c r="I52" s="101"/>
      <c r="J52" s="101"/>
      <c r="K52" s="101"/>
      <c r="L52" s="101"/>
      <c r="M52" s="101"/>
    </row>
    <row r="53" spans="2:13" x14ac:dyDescent="0.2">
      <c r="B53" s="101"/>
      <c r="C53" s="101"/>
      <c r="D53" s="101"/>
      <c r="E53" s="101"/>
      <c r="F53" s="101"/>
      <c r="G53" s="101"/>
      <c r="H53" s="101"/>
      <c r="I53" s="101"/>
      <c r="J53" s="101"/>
      <c r="K53" s="101"/>
      <c r="L53" s="101"/>
      <c r="M53" s="101"/>
    </row>
    <row r="54" spans="2:13" x14ac:dyDescent="0.2">
      <c r="B54" s="101"/>
      <c r="C54" s="101"/>
      <c r="D54" s="101"/>
      <c r="E54" s="101"/>
      <c r="F54" s="101"/>
      <c r="G54" s="101"/>
      <c r="H54" s="101"/>
      <c r="I54" s="101"/>
      <c r="J54" s="101"/>
      <c r="K54" s="101"/>
      <c r="L54" s="101"/>
      <c r="M54" s="101"/>
    </row>
    <row r="55" spans="2:13" x14ac:dyDescent="0.2">
      <c r="B55" s="101"/>
      <c r="C55" s="101"/>
      <c r="D55" s="101"/>
      <c r="E55" s="101"/>
      <c r="F55" s="101"/>
      <c r="G55" s="101"/>
      <c r="H55" s="101"/>
      <c r="I55" s="101"/>
      <c r="J55" s="101"/>
      <c r="K55" s="101"/>
      <c r="L55" s="101"/>
      <c r="M55" s="101"/>
    </row>
    <row r="56" spans="2:13" x14ac:dyDescent="0.2">
      <c r="B56" s="491"/>
      <c r="C56" s="87"/>
      <c r="D56" s="487"/>
      <c r="E56" s="487"/>
      <c r="F56" s="489"/>
      <c r="G56" s="114"/>
      <c r="H56" s="487"/>
      <c r="I56" s="493"/>
      <c r="J56" s="501"/>
      <c r="K56" s="507"/>
      <c r="L56" s="507"/>
      <c r="M56" s="507"/>
    </row>
    <row r="57" spans="2:13" x14ac:dyDescent="0.2">
      <c r="B57" s="491"/>
      <c r="C57" s="87"/>
      <c r="D57" s="487"/>
      <c r="E57" s="487"/>
      <c r="F57" s="489"/>
      <c r="G57" s="114"/>
      <c r="H57" s="487"/>
      <c r="I57" s="493"/>
      <c r="J57" s="501"/>
      <c r="K57" s="501"/>
      <c r="L57" s="501"/>
      <c r="M57" s="501"/>
    </row>
    <row r="58" spans="2:13" x14ac:dyDescent="0.2"/>
    <row r="59" spans="2:13" x14ac:dyDescent="0.2"/>
    <row r="60" spans="2:13" x14ac:dyDescent="0.2"/>
    <row r="61" spans="2:13" hidden="1" x14ac:dyDescent="0.2"/>
    <row r="62" spans="2:13" hidden="1" x14ac:dyDescent="0.2"/>
    <row r="63" spans="2:13" hidden="1" x14ac:dyDescent="0.2"/>
    <row r="64" spans="2:1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sheetData>
  <sheetProtection password="E67C" sheet="1" objects="1" scenarios="1" selectLockedCells="1"/>
  <mergeCells count="122">
    <mergeCell ref="F20:F21"/>
    <mergeCell ref="F22:F23"/>
    <mergeCell ref="E22:E23"/>
    <mergeCell ref="B22:B23"/>
    <mergeCell ref="H28:H29"/>
    <mergeCell ref="B28:B29"/>
    <mergeCell ref="E28:E29"/>
    <mergeCell ref="F28:F29"/>
    <mergeCell ref="I22:I23"/>
    <mergeCell ref="E20:E21"/>
    <mergeCell ref="I20:I21"/>
    <mergeCell ref="B32:B33"/>
    <mergeCell ref="B24:B25"/>
    <mergeCell ref="E24:E25"/>
    <mergeCell ref="F24:F25"/>
    <mergeCell ref="H24:H25"/>
    <mergeCell ref="B40:B41"/>
    <mergeCell ref="D40:D41"/>
    <mergeCell ref="E40:E41"/>
    <mergeCell ref="F40:F41"/>
    <mergeCell ref="I40:I41"/>
    <mergeCell ref="B38:B39"/>
    <mergeCell ref="D38:D39"/>
    <mergeCell ref="E38:E39"/>
    <mergeCell ref="F38:F39"/>
    <mergeCell ref="H38:H39"/>
    <mergeCell ref="H40:H41"/>
    <mergeCell ref="J30:J31"/>
    <mergeCell ref="B36:B37"/>
    <mergeCell ref="E36:E37"/>
    <mergeCell ref="F36:F37"/>
    <mergeCell ref="I36:I37"/>
    <mergeCell ref="B34:B35"/>
    <mergeCell ref="E34:E35"/>
    <mergeCell ref="F34:F35"/>
    <mergeCell ref="H34:H35"/>
    <mergeCell ref="H36:H37"/>
    <mergeCell ref="H30:H31"/>
    <mergeCell ref="B30:B31"/>
    <mergeCell ref="E32:E33"/>
    <mergeCell ref="E30:E31"/>
    <mergeCell ref="F32:F33"/>
    <mergeCell ref="H32:H33"/>
    <mergeCell ref="I38:I39"/>
    <mergeCell ref="B56:B57"/>
    <mergeCell ref="D56:D57"/>
    <mergeCell ref="E56:E57"/>
    <mergeCell ref="F56:F57"/>
    <mergeCell ref="H56:H57"/>
    <mergeCell ref="I56:I57"/>
    <mergeCell ref="J56:J57"/>
    <mergeCell ref="K56:K57"/>
    <mergeCell ref="L56:L57"/>
    <mergeCell ref="M56:M57"/>
    <mergeCell ref="L40:L41"/>
    <mergeCell ref="L10:L11"/>
    <mergeCell ref="M10:M11"/>
    <mergeCell ref="L12:L13"/>
    <mergeCell ref="M12:M13"/>
    <mergeCell ref="K14:K15"/>
    <mergeCell ref="L14:L15"/>
    <mergeCell ref="M14:M15"/>
    <mergeCell ref="K16:K17"/>
    <mergeCell ref="L16:L17"/>
    <mergeCell ref="M16:M17"/>
    <mergeCell ref="M38:M39"/>
    <mergeCell ref="L28:L29"/>
    <mergeCell ref="M28:M29"/>
    <mergeCell ref="K28:K29"/>
    <mergeCell ref="K38:K39"/>
    <mergeCell ref="K40:K41"/>
    <mergeCell ref="L26:L27"/>
    <mergeCell ref="M18:M19"/>
    <mergeCell ref="K20:K21"/>
    <mergeCell ref="J38:J39"/>
    <mergeCell ref="J40:J41"/>
    <mergeCell ref="D16:D17"/>
    <mergeCell ref="B18:B19"/>
    <mergeCell ref="K8:M8"/>
    <mergeCell ref="L18:L19"/>
    <mergeCell ref="K10:K11"/>
    <mergeCell ref="J24:J25"/>
    <mergeCell ref="J26:J27"/>
    <mergeCell ref="K18:K19"/>
    <mergeCell ref="K12:K13"/>
    <mergeCell ref="J10:J11"/>
    <mergeCell ref="B26:B27"/>
    <mergeCell ref="E26:E27"/>
    <mergeCell ref="F26:F27"/>
    <mergeCell ref="H26:H27"/>
    <mergeCell ref="I26:I27"/>
    <mergeCell ref="D26:D27"/>
    <mergeCell ref="I24:I25"/>
    <mergeCell ref="K24:K25"/>
    <mergeCell ref="M24:M25"/>
    <mergeCell ref="L24:L25"/>
    <mergeCell ref="B20:B21"/>
    <mergeCell ref="D20:D21"/>
    <mergeCell ref="D18:D19"/>
    <mergeCell ref="E18:E19"/>
    <mergeCell ref="H10:H11"/>
    <mergeCell ref="F10:F11"/>
    <mergeCell ref="E10:E11"/>
    <mergeCell ref="D10:D11"/>
    <mergeCell ref="B10:B11"/>
    <mergeCell ref="I10:I11"/>
    <mergeCell ref="I18:I19"/>
    <mergeCell ref="I16:I17"/>
    <mergeCell ref="I14:I15"/>
    <mergeCell ref="I12:I13"/>
    <mergeCell ref="B12:B13"/>
    <mergeCell ref="D14:D15"/>
    <mergeCell ref="F18:F19"/>
    <mergeCell ref="E14:E15"/>
    <mergeCell ref="E12:E13"/>
    <mergeCell ref="F14:F15"/>
    <mergeCell ref="E16:E17"/>
    <mergeCell ref="F16:F17"/>
    <mergeCell ref="B14:B15"/>
    <mergeCell ref="D12:D13"/>
    <mergeCell ref="F12:F13"/>
    <mergeCell ref="B16:B17"/>
  </mergeCells>
  <dataValidations count="2">
    <dataValidation type="list" allowBlank="1" showInputMessage="1" showErrorMessage="1" sqref="D6">
      <formula1>$BD$5:$BD$12</formula1>
    </dataValidation>
    <dataValidation type="list" allowBlank="1" showInputMessage="1" showErrorMessage="1" sqref="B6">
      <formula1>$BC$5:$BC$9</formula1>
    </dataValidation>
  </dataValidations>
  <printOptions horizontalCentered="1"/>
  <pageMargins left="0.5" right="0.5" top="0.75" bottom="0.75" header="0.5" footer="0.5"/>
  <pageSetup scale="80" orientation="landscape" r:id="rId1"/>
  <headerFooter>
    <oddFooter>&amp;L&amp;9Maintenance Costs &amp; Intervals Report&amp;C&amp;9Page &amp;P of &amp;N&amp;R&amp;9&amp;D</oddFooter>
  </headerFooter>
  <ignoredErrors>
    <ignoredError sqref="J13:J14 J17 J15 J19:J2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3"/>
  <sheetViews>
    <sheetView zoomScaleNormal="100" workbookViewId="0">
      <selection activeCell="E79" sqref="E79"/>
    </sheetView>
  </sheetViews>
  <sheetFormatPr defaultColWidth="0" defaultRowHeight="15" customHeight="1" zeroHeight="1" x14ac:dyDescent="0.25"/>
  <cols>
    <col min="1" max="15" width="9.140625" style="445" customWidth="1"/>
    <col min="16" max="16" width="9.140625" style="446" customWidth="1"/>
    <col min="17" max="16384" width="9.140625" style="446" hidden="1"/>
  </cols>
  <sheetData>
    <row r="1" spans="1:16" ht="15" customHeight="1" x14ac:dyDescent="0.25"/>
    <row r="2" spans="1:16" ht="21" x14ac:dyDescent="0.35">
      <c r="E2" s="447" t="s">
        <v>493</v>
      </c>
      <c r="F2" s="447"/>
      <c r="G2" s="448"/>
    </row>
    <row r="3" spans="1:16" ht="9" customHeight="1" x14ac:dyDescent="0.25">
      <c r="P3" s="445"/>
    </row>
    <row r="4" spans="1:16" ht="9" customHeight="1" x14ac:dyDescent="0.25">
      <c r="A4" s="449"/>
      <c r="B4" s="449"/>
      <c r="C4" s="449"/>
      <c r="D4" s="449"/>
      <c r="E4" s="449"/>
      <c r="F4" s="449"/>
      <c r="G4" s="449"/>
      <c r="H4" s="449"/>
      <c r="I4" s="449"/>
      <c r="J4" s="449"/>
      <c r="K4" s="449"/>
      <c r="L4" s="449"/>
      <c r="M4" s="449"/>
      <c r="N4" s="449"/>
      <c r="O4" s="449"/>
      <c r="P4" s="449"/>
    </row>
    <row r="5" spans="1:16" x14ac:dyDescent="0.25">
      <c r="A5" s="450" t="s">
        <v>494</v>
      </c>
      <c r="B5" s="451"/>
      <c r="C5" s="451"/>
      <c r="D5" s="451"/>
      <c r="E5" s="451"/>
      <c r="F5" s="451"/>
      <c r="G5" s="451"/>
      <c r="H5" s="451"/>
      <c r="I5" s="451"/>
      <c r="J5" s="451"/>
      <c r="K5" s="451"/>
      <c r="L5" s="451"/>
      <c r="M5" s="451"/>
      <c r="N5" s="451"/>
      <c r="O5" s="451"/>
    </row>
    <row r="6" spans="1:16" x14ac:dyDescent="0.25">
      <c r="A6" s="452" t="s">
        <v>495</v>
      </c>
      <c r="B6" s="451"/>
      <c r="C6" s="451"/>
      <c r="D6" s="451"/>
      <c r="E6" s="451"/>
      <c r="F6" s="451"/>
      <c r="G6" s="451"/>
      <c r="H6" s="451"/>
      <c r="I6" s="451"/>
      <c r="J6" s="451"/>
      <c r="K6" s="451"/>
      <c r="L6" s="451"/>
      <c r="M6" s="451"/>
      <c r="N6" s="451"/>
      <c r="O6" s="451"/>
    </row>
    <row r="7" spans="1:16" x14ac:dyDescent="0.25">
      <c r="A7" s="452" t="s">
        <v>496</v>
      </c>
      <c r="B7" s="451"/>
      <c r="C7" s="451"/>
      <c r="D7" s="451"/>
      <c r="E7" s="451"/>
      <c r="F7" s="451"/>
      <c r="G7" s="451"/>
      <c r="H7" s="451"/>
      <c r="I7" s="451"/>
      <c r="J7" s="451"/>
      <c r="K7" s="451"/>
      <c r="L7" s="451"/>
      <c r="M7" s="451"/>
      <c r="N7" s="451"/>
      <c r="O7" s="451"/>
    </row>
    <row r="8" spans="1:16" x14ac:dyDescent="0.25">
      <c r="A8" s="452" t="s">
        <v>497</v>
      </c>
      <c r="B8" s="451"/>
      <c r="C8" s="451"/>
      <c r="D8" s="451"/>
      <c r="E8" s="451"/>
      <c r="F8" s="451"/>
      <c r="G8" s="451"/>
      <c r="H8" s="451"/>
      <c r="I8" s="451"/>
      <c r="J8" s="451"/>
      <c r="K8" s="451"/>
      <c r="L8" s="451"/>
      <c r="M8" s="451"/>
      <c r="N8" s="451"/>
      <c r="O8" s="451"/>
    </row>
    <row r="9" spans="1:16" x14ac:dyDescent="0.25">
      <c r="A9" s="452"/>
      <c r="B9" s="451"/>
      <c r="C9" s="451"/>
      <c r="D9" s="451"/>
      <c r="E9" s="451"/>
      <c r="F9" s="451"/>
      <c r="G9" s="451"/>
      <c r="H9" s="451"/>
      <c r="I9" s="451"/>
      <c r="J9" s="451"/>
      <c r="K9" s="451"/>
      <c r="L9" s="451"/>
      <c r="M9" s="451"/>
      <c r="N9" s="451"/>
      <c r="O9" s="451"/>
    </row>
    <row r="10" spans="1:16" x14ac:dyDescent="0.25">
      <c r="A10" s="452" t="s">
        <v>498</v>
      </c>
      <c r="B10" s="451"/>
      <c r="C10" s="451"/>
      <c r="D10" s="451"/>
      <c r="E10" s="451"/>
      <c r="F10" s="451"/>
      <c r="G10" s="451"/>
      <c r="H10" s="451"/>
      <c r="I10" s="451"/>
      <c r="J10" s="451"/>
      <c r="K10" s="451"/>
      <c r="L10" s="451"/>
      <c r="M10" s="451"/>
      <c r="N10" s="451"/>
      <c r="O10" s="451"/>
    </row>
    <row r="11" spans="1:16" x14ac:dyDescent="0.25">
      <c r="A11" s="452" t="s">
        <v>499</v>
      </c>
      <c r="B11" s="451"/>
      <c r="C11" s="451"/>
      <c r="D11" s="451"/>
      <c r="E11" s="451"/>
      <c r="F11" s="451"/>
      <c r="G11" s="451"/>
      <c r="H11" s="451"/>
      <c r="I11" s="451"/>
      <c r="J11" s="451"/>
      <c r="K11" s="451"/>
      <c r="L11" s="451"/>
      <c r="M11" s="451"/>
      <c r="N11" s="451"/>
      <c r="O11" s="451"/>
    </row>
    <row r="12" spans="1:16" x14ac:dyDescent="0.25">
      <c r="A12" s="452" t="s">
        <v>500</v>
      </c>
      <c r="B12" s="451"/>
      <c r="C12" s="451"/>
      <c r="D12" s="451"/>
      <c r="E12" s="451"/>
      <c r="F12" s="451"/>
      <c r="G12" s="451"/>
      <c r="H12" s="451"/>
      <c r="I12" s="451"/>
      <c r="J12" s="451"/>
      <c r="K12" s="451"/>
      <c r="L12" s="451"/>
      <c r="M12" s="451"/>
      <c r="N12" s="451"/>
      <c r="O12" s="451"/>
    </row>
    <row r="13" spans="1:16" x14ac:dyDescent="0.25">
      <c r="A13" s="452"/>
      <c r="B13" s="451"/>
      <c r="C13" s="451"/>
      <c r="D13" s="451"/>
      <c r="E13" s="451"/>
      <c r="F13" s="451"/>
      <c r="G13" s="451"/>
      <c r="H13" s="451"/>
      <c r="I13" s="451"/>
      <c r="J13" s="451"/>
      <c r="K13" s="451"/>
      <c r="L13" s="451"/>
      <c r="M13" s="451"/>
      <c r="N13" s="451"/>
      <c r="O13" s="451"/>
    </row>
    <row r="14" spans="1:16" x14ac:dyDescent="0.25">
      <c r="A14" s="452" t="s">
        <v>501</v>
      </c>
      <c r="B14" s="451"/>
      <c r="C14" s="451"/>
      <c r="D14" s="451"/>
      <c r="E14" s="451"/>
      <c r="F14" s="451"/>
      <c r="G14" s="451"/>
      <c r="H14" s="451"/>
      <c r="I14" s="451"/>
      <c r="J14" s="451"/>
      <c r="K14" s="451"/>
      <c r="L14" s="451"/>
      <c r="M14" s="451"/>
      <c r="N14" s="451"/>
      <c r="O14" s="451"/>
    </row>
    <row r="15" spans="1:16" x14ac:dyDescent="0.25">
      <c r="A15" s="452" t="s">
        <v>502</v>
      </c>
      <c r="B15" s="451"/>
      <c r="C15" s="451"/>
      <c r="D15" s="451"/>
      <c r="E15" s="451"/>
      <c r="F15" s="451"/>
      <c r="G15" s="451"/>
      <c r="H15" s="451"/>
      <c r="I15" s="451"/>
      <c r="J15" s="451"/>
      <c r="K15" s="451"/>
      <c r="L15" s="451"/>
      <c r="M15" s="451"/>
    </row>
    <row r="16" spans="1:16" x14ac:dyDescent="0.25">
      <c r="A16" s="452" t="s">
        <v>503</v>
      </c>
      <c r="B16" s="451"/>
      <c r="C16" s="451"/>
      <c r="D16" s="451"/>
      <c r="E16" s="451"/>
      <c r="F16" s="451"/>
      <c r="G16" s="451"/>
      <c r="H16" s="451"/>
      <c r="I16" s="451"/>
      <c r="J16" s="451"/>
      <c r="K16" s="451"/>
      <c r="L16" s="451"/>
      <c r="M16" s="451"/>
    </row>
    <row r="17" spans="1:16" x14ac:dyDescent="0.25">
      <c r="A17" s="452" t="s">
        <v>504</v>
      </c>
      <c r="B17" s="451"/>
      <c r="C17" s="451"/>
      <c r="D17" s="451"/>
      <c r="E17" s="451"/>
      <c r="F17" s="451"/>
      <c r="G17" s="451"/>
      <c r="H17" s="451"/>
      <c r="I17" s="451"/>
      <c r="J17" s="451"/>
      <c r="K17" s="451"/>
      <c r="L17" s="451"/>
      <c r="M17" s="451"/>
    </row>
    <row r="18" spans="1:16" x14ac:dyDescent="0.25">
      <c r="A18" s="452" t="s">
        <v>505</v>
      </c>
      <c r="B18" s="451"/>
      <c r="C18" s="451"/>
      <c r="D18" s="451"/>
      <c r="E18" s="451"/>
      <c r="F18" s="451"/>
      <c r="G18" s="451"/>
      <c r="H18" s="451"/>
      <c r="I18" s="451"/>
      <c r="J18" s="451"/>
      <c r="K18" s="451"/>
      <c r="L18" s="451"/>
      <c r="M18" s="451"/>
    </row>
    <row r="19" spans="1:16" x14ac:dyDescent="0.25">
      <c r="A19" s="452"/>
      <c r="B19" s="451"/>
      <c r="C19" s="451"/>
      <c r="D19" s="451"/>
      <c r="E19" s="451"/>
      <c r="F19" s="451"/>
      <c r="G19" s="451"/>
      <c r="H19" s="451"/>
      <c r="I19" s="451"/>
      <c r="J19" s="451"/>
      <c r="K19" s="451"/>
      <c r="L19" s="451"/>
      <c r="M19" s="451"/>
    </row>
    <row r="20" spans="1:16" x14ac:dyDescent="0.25">
      <c r="A20" s="452" t="s">
        <v>506</v>
      </c>
      <c r="B20" s="451"/>
      <c r="C20" s="451"/>
      <c r="D20" s="451"/>
      <c r="E20" s="451"/>
      <c r="F20" s="451"/>
      <c r="G20" s="451"/>
      <c r="H20" s="451"/>
      <c r="I20" s="451"/>
      <c r="J20" s="451"/>
      <c r="K20" s="451"/>
      <c r="L20" s="451"/>
      <c r="M20" s="451"/>
    </row>
    <row r="21" spans="1:16" x14ac:dyDescent="0.25">
      <c r="A21" s="453" t="s">
        <v>507</v>
      </c>
      <c r="B21" s="451"/>
      <c r="C21" s="451"/>
      <c r="D21" s="451"/>
      <c r="E21" s="451"/>
      <c r="F21" s="451"/>
      <c r="G21" s="451"/>
      <c r="H21" s="451"/>
      <c r="I21" s="451"/>
      <c r="J21" s="451"/>
      <c r="K21" s="451"/>
      <c r="L21" s="451"/>
      <c r="M21" s="451"/>
    </row>
    <row r="22" spans="1:16" x14ac:dyDescent="0.25">
      <c r="A22" s="453" t="s">
        <v>508</v>
      </c>
      <c r="B22" s="451"/>
      <c r="C22" s="451"/>
      <c r="D22" s="451"/>
      <c r="E22" s="451"/>
      <c r="F22" s="451"/>
      <c r="G22" s="451"/>
      <c r="H22" s="451"/>
      <c r="I22" s="451"/>
      <c r="J22" s="451"/>
      <c r="K22" s="451"/>
      <c r="L22" s="451"/>
      <c r="M22" s="451"/>
    </row>
    <row r="23" spans="1:16" x14ac:dyDescent="0.25">
      <c r="A23" s="453" t="s">
        <v>509</v>
      </c>
    </row>
    <row r="24" spans="1:16" ht="15" customHeight="1" x14ac:dyDescent="0.25"/>
    <row r="25" spans="1:16" x14ac:dyDescent="0.25">
      <c r="A25" s="453" t="s">
        <v>510</v>
      </c>
    </row>
    <row r="26" spans="1:16" x14ac:dyDescent="0.25">
      <c r="A26" s="453" t="s">
        <v>511</v>
      </c>
    </row>
    <row r="27" spans="1:16" ht="15" customHeight="1" x14ac:dyDescent="0.25"/>
    <row r="28" spans="1:16" x14ac:dyDescent="0.25">
      <c r="A28" s="510" t="s">
        <v>512</v>
      </c>
      <c r="B28" s="510"/>
      <c r="C28" s="510"/>
      <c r="D28" s="510"/>
      <c r="E28" s="510"/>
      <c r="F28" s="510"/>
      <c r="G28" s="510"/>
      <c r="H28" s="510"/>
      <c r="I28" s="510"/>
      <c r="J28" s="510"/>
      <c r="K28" s="510"/>
      <c r="L28" s="510"/>
      <c r="M28" s="510"/>
      <c r="N28" s="510"/>
      <c r="O28" s="510"/>
      <c r="P28" s="510"/>
    </row>
    <row r="29" spans="1:16" x14ac:dyDescent="0.25">
      <c r="I29" s="453"/>
    </row>
    <row r="30" spans="1:16" ht="15" customHeight="1" x14ac:dyDescent="0.25"/>
    <row r="31" spans="1:16" x14ac:dyDescent="0.25">
      <c r="I31" s="453"/>
    </row>
    <row r="32" spans="1:16" x14ac:dyDescent="0.25">
      <c r="I32" s="453"/>
    </row>
    <row r="33" spans="1:15" x14ac:dyDescent="0.25">
      <c r="I33" s="453"/>
      <c r="J33" s="446"/>
      <c r="K33" s="446"/>
      <c r="L33" s="446"/>
      <c r="M33" s="446"/>
      <c r="N33" s="446"/>
      <c r="O33" s="446"/>
    </row>
    <row r="34" spans="1:15" x14ac:dyDescent="0.25">
      <c r="I34" s="453"/>
      <c r="J34" s="446"/>
      <c r="K34" s="446"/>
      <c r="L34" s="446"/>
      <c r="M34" s="446"/>
      <c r="N34" s="446"/>
      <c r="O34" s="446"/>
    </row>
    <row r="35" spans="1:15" x14ac:dyDescent="0.25">
      <c r="I35" s="453"/>
      <c r="J35" s="446"/>
      <c r="K35" s="446"/>
      <c r="L35" s="446"/>
      <c r="M35" s="446"/>
      <c r="N35" s="446"/>
      <c r="O35" s="446"/>
    </row>
    <row r="36" spans="1:15" x14ac:dyDescent="0.25">
      <c r="I36" s="453"/>
      <c r="J36" s="446"/>
      <c r="K36" s="446"/>
      <c r="L36" s="446"/>
      <c r="M36" s="446"/>
      <c r="N36" s="446"/>
      <c r="O36" s="446"/>
    </row>
    <row r="37" spans="1:15" x14ac:dyDescent="0.25">
      <c r="I37" s="453"/>
      <c r="J37" s="446"/>
      <c r="K37" s="446"/>
      <c r="L37" s="446"/>
      <c r="M37" s="446"/>
      <c r="N37" s="446"/>
      <c r="O37" s="446"/>
    </row>
    <row r="38" spans="1:15" x14ac:dyDescent="0.25">
      <c r="J38" s="446"/>
      <c r="K38" s="446"/>
      <c r="L38" s="446"/>
      <c r="M38" s="446"/>
      <c r="N38" s="446"/>
      <c r="O38" s="446"/>
    </row>
    <row r="39" spans="1:15" x14ac:dyDescent="0.25">
      <c r="J39" s="446"/>
      <c r="K39" s="446"/>
      <c r="L39" s="446"/>
      <c r="M39" s="446"/>
      <c r="N39" s="446"/>
      <c r="O39" s="446"/>
    </row>
    <row r="40" spans="1:15" x14ac:dyDescent="0.25">
      <c r="J40" s="446"/>
      <c r="K40" s="446"/>
      <c r="L40" s="446"/>
      <c r="M40" s="446"/>
      <c r="N40" s="446"/>
      <c r="O40" s="446"/>
    </row>
    <row r="41" spans="1:15" x14ac:dyDescent="0.25">
      <c r="J41" s="446"/>
      <c r="K41" s="446"/>
      <c r="L41" s="446"/>
      <c r="M41" s="446"/>
      <c r="N41" s="446"/>
      <c r="O41" s="446"/>
    </row>
    <row r="42" spans="1:15" x14ac:dyDescent="0.25">
      <c r="J42" s="446"/>
      <c r="K42" s="446"/>
      <c r="L42" s="446"/>
      <c r="M42" s="446"/>
      <c r="N42" s="446"/>
      <c r="O42" s="446"/>
    </row>
    <row r="43" spans="1:15" x14ac:dyDescent="0.25">
      <c r="A43" s="450" t="s">
        <v>513</v>
      </c>
      <c r="B43" s="454"/>
      <c r="I43" s="455"/>
      <c r="J43" s="446"/>
      <c r="K43" s="446"/>
      <c r="L43" s="446"/>
      <c r="M43" s="446"/>
      <c r="N43" s="446"/>
      <c r="O43" s="446"/>
    </row>
    <row r="44" spans="1:15" ht="7.5" customHeight="1" x14ac:dyDescent="0.25">
      <c r="A44" s="454"/>
      <c r="B44" s="454"/>
      <c r="I44" s="453"/>
      <c r="J44" s="446"/>
      <c r="K44" s="446"/>
      <c r="L44" s="446"/>
      <c r="M44" s="446"/>
      <c r="N44" s="446"/>
      <c r="O44" s="446"/>
    </row>
    <row r="45" spans="1:15" x14ac:dyDescent="0.25">
      <c r="A45" s="453" t="s">
        <v>514</v>
      </c>
      <c r="B45" s="454"/>
      <c r="I45" s="453"/>
      <c r="J45" s="446"/>
      <c r="K45" s="446"/>
      <c r="L45" s="446"/>
      <c r="M45" s="446"/>
      <c r="N45" s="446"/>
      <c r="O45" s="446"/>
    </row>
    <row r="46" spans="1:15" x14ac:dyDescent="0.25">
      <c r="A46" s="453" t="s">
        <v>545</v>
      </c>
      <c r="B46" s="454"/>
      <c r="I46" s="453"/>
      <c r="J46" s="446"/>
      <c r="K46" s="446"/>
      <c r="L46" s="446"/>
      <c r="M46" s="446"/>
      <c r="N46" s="446"/>
      <c r="O46" s="446"/>
    </row>
    <row r="47" spans="1:15" ht="7.5" customHeight="1" x14ac:dyDescent="0.25">
      <c r="A47" s="454"/>
      <c r="B47" s="454"/>
      <c r="I47" s="453"/>
      <c r="J47" s="446"/>
      <c r="K47" s="446"/>
      <c r="L47" s="446"/>
      <c r="M47" s="446"/>
      <c r="N47" s="446"/>
      <c r="O47" s="446"/>
    </row>
    <row r="48" spans="1:15" x14ac:dyDescent="0.25">
      <c r="A48" s="453" t="s">
        <v>515</v>
      </c>
      <c r="B48" s="454"/>
      <c r="I48" s="453"/>
      <c r="J48" s="446"/>
      <c r="K48" s="446"/>
      <c r="L48" s="446"/>
      <c r="M48" s="446"/>
      <c r="N48" s="446"/>
      <c r="O48" s="446"/>
    </row>
    <row r="49" spans="1:16" x14ac:dyDescent="0.25">
      <c r="A49" s="453" t="s">
        <v>516</v>
      </c>
      <c r="B49" s="454"/>
      <c r="I49" s="453"/>
      <c r="J49" s="446"/>
      <c r="K49" s="446"/>
      <c r="L49" s="446"/>
      <c r="M49" s="446"/>
      <c r="N49" s="446"/>
      <c r="O49" s="446"/>
    </row>
    <row r="50" spans="1:16" x14ac:dyDescent="0.25">
      <c r="A50" s="453" t="s">
        <v>544</v>
      </c>
      <c r="B50" s="454"/>
      <c r="I50" s="453"/>
      <c r="J50" s="446"/>
      <c r="K50" s="446"/>
      <c r="L50" s="446"/>
      <c r="M50" s="446"/>
      <c r="N50" s="446"/>
      <c r="O50" s="446"/>
    </row>
    <row r="51" spans="1:16" ht="7.5" customHeight="1" x14ac:dyDescent="0.25">
      <c r="A51" s="453"/>
      <c r="B51" s="454"/>
      <c r="I51" s="453"/>
      <c r="J51" s="446"/>
      <c r="K51" s="446"/>
      <c r="L51" s="446"/>
      <c r="M51" s="446"/>
      <c r="N51" s="446"/>
      <c r="O51" s="446"/>
    </row>
    <row r="52" spans="1:16" x14ac:dyDescent="0.25">
      <c r="A52" s="454"/>
      <c r="B52" s="453" t="s">
        <v>517</v>
      </c>
      <c r="I52" s="453"/>
      <c r="J52" s="446"/>
      <c r="K52" s="446"/>
      <c r="L52" s="446"/>
      <c r="M52" s="446"/>
      <c r="N52" s="446"/>
      <c r="O52" s="446"/>
    </row>
    <row r="53" spans="1:16" x14ac:dyDescent="0.25">
      <c r="A53" s="454"/>
      <c r="B53" s="453" t="s">
        <v>518</v>
      </c>
      <c r="I53" s="453"/>
      <c r="J53" s="446"/>
      <c r="K53" s="446"/>
      <c r="L53" s="446"/>
      <c r="M53" s="446"/>
      <c r="N53" s="446"/>
      <c r="O53" s="446"/>
    </row>
    <row r="54" spans="1:16" x14ac:dyDescent="0.25">
      <c r="A54" s="454"/>
      <c r="B54" s="453" t="s">
        <v>550</v>
      </c>
      <c r="I54" s="453"/>
      <c r="J54" s="446"/>
      <c r="K54" s="446"/>
      <c r="L54" s="446"/>
      <c r="M54" s="446"/>
      <c r="N54" s="446"/>
      <c r="O54" s="446"/>
    </row>
    <row r="55" spans="1:16" ht="7.5" customHeight="1" x14ac:dyDescent="0.25">
      <c r="I55" s="453"/>
      <c r="J55" s="446"/>
      <c r="K55" s="446"/>
      <c r="L55" s="446"/>
      <c r="M55" s="446"/>
      <c r="N55" s="446"/>
      <c r="O55" s="446"/>
    </row>
    <row r="56" spans="1:16" x14ac:dyDescent="0.25">
      <c r="A56" s="454"/>
      <c r="B56" s="453" t="s">
        <v>519</v>
      </c>
      <c r="I56" s="453"/>
      <c r="J56" s="446"/>
      <c r="K56" s="446"/>
      <c r="L56" s="446"/>
      <c r="M56" s="446"/>
      <c r="N56" s="446"/>
      <c r="O56" s="446"/>
    </row>
    <row r="57" spans="1:16" x14ac:dyDescent="0.25">
      <c r="A57" s="454"/>
      <c r="B57" s="453" t="s">
        <v>551</v>
      </c>
      <c r="I57" s="453"/>
      <c r="J57" s="446"/>
      <c r="K57" s="446"/>
      <c r="L57" s="446"/>
      <c r="M57" s="446"/>
      <c r="N57" s="446"/>
      <c r="O57" s="446"/>
    </row>
    <row r="58" spans="1:16" x14ac:dyDescent="0.25">
      <c r="A58" s="446"/>
      <c r="B58" s="446"/>
      <c r="C58" s="446"/>
      <c r="D58" s="446"/>
      <c r="E58" s="446"/>
      <c r="F58" s="446"/>
      <c r="G58" s="446"/>
      <c r="H58" s="446"/>
      <c r="I58" s="446"/>
      <c r="J58" s="446"/>
      <c r="K58" s="446"/>
      <c r="L58" s="446"/>
      <c r="M58" s="446"/>
      <c r="N58" s="446"/>
      <c r="O58" s="446"/>
    </row>
    <row r="59" spans="1:16" x14ac:dyDescent="0.25">
      <c r="A59" s="510" t="s">
        <v>548</v>
      </c>
      <c r="B59" s="510"/>
      <c r="C59" s="510"/>
      <c r="D59" s="510"/>
      <c r="E59" s="510"/>
      <c r="F59" s="510"/>
      <c r="G59" s="510"/>
      <c r="H59" s="510"/>
      <c r="I59" s="510"/>
      <c r="J59" s="510"/>
      <c r="K59" s="510"/>
      <c r="L59" s="510"/>
      <c r="M59" s="510"/>
      <c r="N59" s="510"/>
      <c r="O59" s="510"/>
      <c r="P59" s="510"/>
    </row>
    <row r="60" spans="1:16" x14ac:dyDescent="0.25">
      <c r="A60" s="454"/>
      <c r="B60" s="454"/>
      <c r="I60" s="455"/>
      <c r="J60" s="446"/>
      <c r="K60" s="446"/>
      <c r="L60" s="446"/>
      <c r="M60" s="446"/>
      <c r="N60" s="446"/>
      <c r="O60" s="446"/>
    </row>
    <row r="61" spans="1:16" x14ac:dyDescent="0.25">
      <c r="A61" s="454"/>
      <c r="B61" s="454"/>
      <c r="L61" s="446"/>
      <c r="M61" s="446"/>
      <c r="N61" s="446"/>
      <c r="O61" s="446"/>
    </row>
    <row r="62" spans="1:16" x14ac:dyDescent="0.25">
      <c r="A62" s="454"/>
      <c r="B62" s="454"/>
      <c r="L62" s="446"/>
      <c r="M62" s="446"/>
      <c r="N62" s="446"/>
      <c r="O62" s="446"/>
    </row>
    <row r="63" spans="1:16" x14ac:dyDescent="0.25">
      <c r="A63" s="454"/>
      <c r="B63" s="454"/>
      <c r="L63" s="446"/>
      <c r="M63" s="446"/>
      <c r="N63" s="446"/>
      <c r="O63" s="446"/>
    </row>
    <row r="64" spans="1:16" x14ac:dyDescent="0.25">
      <c r="A64" s="454"/>
      <c r="B64" s="454"/>
      <c r="L64" s="446"/>
      <c r="M64" s="446"/>
      <c r="N64" s="446"/>
      <c r="O64" s="446"/>
    </row>
    <row r="65" spans="1:15" x14ac:dyDescent="0.25">
      <c r="A65" s="454"/>
      <c r="B65" s="454"/>
      <c r="L65" s="446"/>
      <c r="M65" s="446"/>
      <c r="N65" s="446"/>
      <c r="O65" s="446"/>
    </row>
    <row r="66" spans="1:15" x14ac:dyDescent="0.25">
      <c r="A66" s="454"/>
      <c r="B66" s="454"/>
      <c r="L66" s="446"/>
      <c r="M66" s="446"/>
      <c r="N66" s="446"/>
      <c r="O66" s="446"/>
    </row>
    <row r="67" spans="1:15" x14ac:dyDescent="0.25">
      <c r="A67" s="454"/>
      <c r="B67" s="454"/>
      <c r="L67" s="446"/>
      <c r="M67" s="446"/>
      <c r="N67" s="446"/>
      <c r="O67" s="446"/>
    </row>
    <row r="68" spans="1:15" x14ac:dyDescent="0.25">
      <c r="A68" s="454"/>
      <c r="B68" s="454"/>
      <c r="L68" s="446"/>
      <c r="M68" s="446"/>
      <c r="N68" s="446"/>
      <c r="O68" s="446"/>
    </row>
    <row r="69" spans="1:15" x14ac:dyDescent="0.25">
      <c r="A69" s="454"/>
      <c r="B69" s="454"/>
      <c r="L69" s="446"/>
      <c r="M69" s="446"/>
      <c r="N69" s="446"/>
      <c r="O69" s="446"/>
    </row>
    <row r="70" spans="1:15" x14ac:dyDescent="0.25">
      <c r="A70" s="454"/>
      <c r="B70" s="454"/>
      <c r="L70" s="446"/>
      <c r="M70" s="446"/>
      <c r="N70" s="446"/>
      <c r="O70" s="446"/>
    </row>
    <row r="71" spans="1:15" x14ac:dyDescent="0.25">
      <c r="A71" s="454"/>
      <c r="B71" s="454"/>
      <c r="L71" s="446"/>
      <c r="M71" s="446"/>
      <c r="N71" s="446"/>
      <c r="O71" s="446"/>
    </row>
    <row r="72" spans="1:15" x14ac:dyDescent="0.25">
      <c r="A72" s="454"/>
      <c r="B72" s="454"/>
      <c r="L72" s="446"/>
      <c r="M72" s="446"/>
      <c r="N72" s="446"/>
      <c r="O72" s="446"/>
    </row>
    <row r="73" spans="1:15" x14ac:dyDescent="0.25">
      <c r="A73" s="454"/>
      <c r="B73" s="454"/>
      <c r="L73" s="446"/>
      <c r="M73" s="446"/>
      <c r="N73" s="446"/>
      <c r="O73" s="446"/>
    </row>
    <row r="74" spans="1:15" x14ac:dyDescent="0.25">
      <c r="B74" s="453" t="s">
        <v>520</v>
      </c>
      <c r="I74" s="453"/>
      <c r="J74" s="446"/>
      <c r="K74" s="446"/>
      <c r="L74" s="446"/>
      <c r="M74" s="446"/>
      <c r="N74" s="446"/>
      <c r="O74" s="446"/>
    </row>
    <row r="75" spans="1:15" x14ac:dyDescent="0.25">
      <c r="B75" s="453" t="s">
        <v>521</v>
      </c>
      <c r="I75" s="453"/>
      <c r="J75" s="446"/>
      <c r="K75" s="446"/>
      <c r="L75" s="446"/>
      <c r="M75" s="446"/>
      <c r="N75" s="446"/>
      <c r="O75" s="446"/>
    </row>
    <row r="76" spans="1:15" x14ac:dyDescent="0.25">
      <c r="B76" s="453" t="s">
        <v>522</v>
      </c>
      <c r="I76" s="453"/>
      <c r="J76" s="446"/>
      <c r="K76" s="446"/>
      <c r="L76" s="446"/>
      <c r="M76" s="446"/>
      <c r="N76" s="446"/>
      <c r="O76" s="446"/>
    </row>
    <row r="77" spans="1:15" x14ac:dyDescent="0.25">
      <c r="A77" s="453"/>
      <c r="B77" s="454"/>
      <c r="I77" s="453"/>
      <c r="J77" s="446"/>
      <c r="K77" s="446"/>
      <c r="L77" s="446"/>
      <c r="M77" s="446"/>
      <c r="N77" s="446"/>
      <c r="O77" s="446"/>
    </row>
    <row r="78" spans="1:15" x14ac:dyDescent="0.25">
      <c r="A78" s="453" t="s">
        <v>546</v>
      </c>
      <c r="B78" s="454"/>
      <c r="I78" s="453"/>
      <c r="J78" s="446"/>
      <c r="K78" s="446"/>
      <c r="L78" s="446"/>
      <c r="M78" s="446"/>
      <c r="N78" s="446"/>
      <c r="O78" s="446"/>
    </row>
    <row r="79" spans="1:15" x14ac:dyDescent="0.25">
      <c r="A79" s="453" t="s">
        <v>523</v>
      </c>
      <c r="B79" s="454"/>
      <c r="I79" s="453"/>
      <c r="J79" s="446"/>
      <c r="K79" s="446"/>
      <c r="L79" s="446"/>
      <c r="M79" s="446"/>
      <c r="N79" s="446"/>
      <c r="O79" s="446"/>
    </row>
    <row r="80" spans="1:15" x14ac:dyDescent="0.25">
      <c r="A80" s="453" t="s">
        <v>549</v>
      </c>
      <c r="B80" s="454"/>
      <c r="I80" s="453"/>
      <c r="J80" s="446"/>
      <c r="K80" s="446"/>
      <c r="L80" s="446"/>
      <c r="M80" s="446"/>
      <c r="N80" s="446"/>
      <c r="O80" s="446"/>
    </row>
    <row r="81" spans="1:16" x14ac:dyDescent="0.25">
      <c r="A81" s="453" t="s">
        <v>553</v>
      </c>
      <c r="B81" s="454"/>
      <c r="J81" s="446"/>
      <c r="K81" s="446"/>
      <c r="L81" s="446"/>
      <c r="M81" s="446"/>
      <c r="N81" s="446"/>
      <c r="O81" s="446"/>
    </row>
    <row r="82" spans="1:16" x14ac:dyDescent="0.25">
      <c r="A82" s="453"/>
      <c r="B82" s="446"/>
      <c r="J82" s="446"/>
      <c r="K82" s="446"/>
      <c r="L82" s="446"/>
      <c r="M82" s="446"/>
      <c r="N82" s="446"/>
      <c r="O82" s="446"/>
    </row>
    <row r="83" spans="1:16" x14ac:dyDescent="0.25">
      <c r="A83" s="453"/>
      <c r="B83" s="453" t="s">
        <v>524</v>
      </c>
      <c r="J83" s="446"/>
      <c r="K83" s="446"/>
      <c r="L83" s="446"/>
      <c r="M83" s="446"/>
      <c r="N83" s="446"/>
      <c r="O83" s="446"/>
    </row>
    <row r="84" spans="1:16" x14ac:dyDescent="0.25">
      <c r="A84" s="454"/>
      <c r="B84" s="453" t="s">
        <v>525</v>
      </c>
      <c r="I84" s="453"/>
      <c r="J84" s="446"/>
      <c r="K84" s="446"/>
      <c r="L84" s="446"/>
      <c r="M84" s="446"/>
      <c r="N84" s="446"/>
      <c r="O84" s="446"/>
    </row>
    <row r="85" spans="1:16" x14ac:dyDescent="0.25">
      <c r="A85" s="454"/>
      <c r="B85" s="453" t="s">
        <v>526</v>
      </c>
      <c r="I85" s="453"/>
      <c r="J85" s="446"/>
      <c r="K85" s="446"/>
      <c r="L85" s="446"/>
      <c r="M85" s="446"/>
      <c r="N85" s="446"/>
      <c r="O85" s="446"/>
    </row>
    <row r="86" spans="1:16" x14ac:dyDescent="0.25">
      <c r="A86" s="454"/>
      <c r="B86" s="453" t="s">
        <v>527</v>
      </c>
      <c r="I86" s="453"/>
      <c r="J86" s="446"/>
      <c r="K86" s="446"/>
      <c r="L86" s="446"/>
      <c r="M86" s="446"/>
      <c r="N86" s="446"/>
      <c r="O86" s="446"/>
    </row>
    <row r="87" spans="1:16" x14ac:dyDescent="0.25">
      <c r="A87" s="454"/>
      <c r="B87" s="453" t="s">
        <v>528</v>
      </c>
      <c r="I87" s="453"/>
      <c r="J87" s="446"/>
      <c r="K87" s="446"/>
      <c r="L87" s="446"/>
      <c r="M87" s="446"/>
      <c r="N87" s="446"/>
      <c r="O87" s="446"/>
    </row>
    <row r="88" spans="1:16" x14ac:dyDescent="0.25">
      <c r="A88" s="454"/>
      <c r="B88" s="453" t="s">
        <v>547</v>
      </c>
      <c r="I88" s="453"/>
      <c r="J88" s="446"/>
      <c r="K88" s="446"/>
      <c r="L88" s="446"/>
      <c r="M88" s="446"/>
      <c r="N88" s="446"/>
      <c r="O88" s="446"/>
    </row>
    <row r="89" spans="1:16" ht="7.5" customHeight="1" x14ac:dyDescent="0.25">
      <c r="A89" s="454"/>
      <c r="B89" s="454"/>
      <c r="I89" s="453"/>
    </row>
    <row r="90" spans="1:16" x14ac:dyDescent="0.25">
      <c r="A90" s="453" t="s">
        <v>554</v>
      </c>
      <c r="B90" s="454"/>
      <c r="I90" s="453"/>
    </row>
    <row r="91" spans="1:16" x14ac:dyDescent="0.25">
      <c r="A91" s="453" t="s">
        <v>555</v>
      </c>
      <c r="B91" s="454"/>
      <c r="I91" s="453"/>
    </row>
    <row r="92" spans="1:16" x14ac:dyDescent="0.25">
      <c r="A92" s="453" t="s">
        <v>556</v>
      </c>
      <c r="B92" s="454"/>
      <c r="I92" s="453"/>
    </row>
    <row r="93" spans="1:16" ht="9" customHeight="1" x14ac:dyDescent="0.25">
      <c r="A93" s="454"/>
      <c r="B93" s="454"/>
      <c r="I93" s="453"/>
    </row>
    <row r="94" spans="1:16" x14ac:dyDescent="0.25">
      <c r="A94" s="510" t="s">
        <v>552</v>
      </c>
      <c r="B94" s="510"/>
      <c r="C94" s="510"/>
      <c r="D94" s="510"/>
      <c r="E94" s="510"/>
      <c r="F94" s="510"/>
      <c r="G94" s="510"/>
      <c r="H94" s="510"/>
      <c r="I94" s="510"/>
      <c r="J94" s="510"/>
      <c r="K94" s="510"/>
      <c r="L94" s="510"/>
      <c r="M94" s="510"/>
      <c r="N94" s="510"/>
      <c r="O94" s="510"/>
      <c r="P94" s="510"/>
    </row>
    <row r="95" spans="1:16" x14ac:dyDescent="0.25">
      <c r="A95" s="454"/>
      <c r="B95" s="454"/>
      <c r="I95" s="453"/>
    </row>
    <row r="96" spans="1:16" ht="15" customHeight="1" x14ac:dyDescent="0.25"/>
    <row r="97" spans="1:15" x14ac:dyDescent="0.25">
      <c r="I97" s="453"/>
    </row>
    <row r="98" spans="1:15" x14ac:dyDescent="0.25">
      <c r="I98" s="453"/>
    </row>
    <row r="99" spans="1:15" x14ac:dyDescent="0.25">
      <c r="I99" s="453"/>
    </row>
    <row r="100" spans="1:15" x14ac:dyDescent="0.25">
      <c r="I100" s="453"/>
    </row>
    <row r="101" spans="1:15" x14ac:dyDescent="0.25">
      <c r="I101" s="453"/>
    </row>
    <row r="102" spans="1:15" x14ac:dyDescent="0.25">
      <c r="I102" s="453"/>
    </row>
    <row r="103" spans="1:15" x14ac:dyDescent="0.25">
      <c r="I103" s="453"/>
      <c r="J103" s="446"/>
      <c r="K103" s="446"/>
      <c r="L103" s="446"/>
      <c r="M103" s="446"/>
      <c r="N103" s="446"/>
      <c r="O103" s="446"/>
    </row>
    <row r="104" spans="1:15" x14ac:dyDescent="0.25">
      <c r="I104" s="453"/>
      <c r="J104" s="446"/>
      <c r="K104" s="446"/>
      <c r="L104" s="446"/>
      <c r="M104" s="446"/>
      <c r="N104" s="446"/>
      <c r="O104" s="446"/>
    </row>
    <row r="105" spans="1:15" x14ac:dyDescent="0.25">
      <c r="I105" s="453"/>
      <c r="J105" s="446"/>
      <c r="K105" s="446"/>
      <c r="L105" s="446"/>
      <c r="M105" s="446"/>
      <c r="N105" s="446"/>
      <c r="O105" s="446"/>
    </row>
    <row r="106" spans="1:15" x14ac:dyDescent="0.25">
      <c r="I106" s="453"/>
      <c r="J106" s="446"/>
      <c r="K106" s="446"/>
      <c r="L106" s="446"/>
      <c r="M106" s="446"/>
      <c r="N106" s="446"/>
      <c r="O106" s="446"/>
    </row>
    <row r="107" spans="1:15" x14ac:dyDescent="0.25">
      <c r="I107" s="453"/>
      <c r="J107" s="446"/>
      <c r="K107" s="446"/>
      <c r="L107" s="446"/>
      <c r="M107" s="446"/>
      <c r="N107" s="446"/>
      <c r="O107" s="446"/>
    </row>
    <row r="108" spans="1:15" x14ac:dyDescent="0.25">
      <c r="I108" s="453"/>
      <c r="J108" s="446"/>
      <c r="K108" s="446"/>
      <c r="L108" s="446"/>
      <c r="M108" s="446"/>
      <c r="N108" s="446"/>
      <c r="O108" s="446"/>
    </row>
    <row r="109" spans="1:15" ht="7.5" customHeight="1" x14ac:dyDescent="0.25">
      <c r="A109" s="446"/>
      <c r="I109" s="453"/>
      <c r="J109" s="446"/>
      <c r="K109" s="446"/>
      <c r="L109" s="446"/>
      <c r="M109" s="446"/>
      <c r="N109" s="446"/>
      <c r="O109" s="446"/>
    </row>
    <row r="110" spans="1:15" x14ac:dyDescent="0.25">
      <c r="A110" s="456" t="s">
        <v>529</v>
      </c>
      <c r="I110" s="453"/>
      <c r="J110" s="446"/>
      <c r="K110" s="446"/>
      <c r="L110" s="446"/>
      <c r="M110" s="446"/>
      <c r="N110" s="446"/>
      <c r="O110" s="446"/>
    </row>
    <row r="111" spans="1:15" x14ac:dyDescent="0.25">
      <c r="A111" s="453" t="s">
        <v>530</v>
      </c>
      <c r="I111" s="453"/>
      <c r="J111" s="446"/>
      <c r="K111" s="446"/>
      <c r="L111" s="446"/>
      <c r="M111" s="446"/>
      <c r="N111" s="446"/>
      <c r="O111" s="446"/>
    </row>
    <row r="112" spans="1:15" x14ac:dyDescent="0.25">
      <c r="A112" s="453" t="s">
        <v>531</v>
      </c>
      <c r="I112" s="453"/>
    </row>
    <row r="113" spans="1:15" x14ac:dyDescent="0.25">
      <c r="A113" s="453" t="s">
        <v>532</v>
      </c>
      <c r="I113" s="453"/>
    </row>
    <row r="114" spans="1:15" ht="7.5" customHeight="1" x14ac:dyDescent="0.25">
      <c r="I114" s="453"/>
    </row>
    <row r="115" spans="1:15" x14ac:dyDescent="0.25">
      <c r="A115" s="453" t="s">
        <v>533</v>
      </c>
      <c r="I115" s="453"/>
    </row>
    <row r="116" spans="1:15" x14ac:dyDescent="0.25">
      <c r="A116" s="453" t="s">
        <v>534</v>
      </c>
      <c r="I116" s="453"/>
    </row>
    <row r="117" spans="1:15" x14ac:dyDescent="0.25">
      <c r="A117" s="453" t="s">
        <v>535</v>
      </c>
      <c r="I117" s="453"/>
    </row>
    <row r="118" spans="1:15" ht="7.5" customHeight="1" x14ac:dyDescent="0.25">
      <c r="A118" s="453"/>
      <c r="I118" s="453"/>
    </row>
    <row r="119" spans="1:15" x14ac:dyDescent="0.25">
      <c r="A119" s="453"/>
      <c r="B119" s="453" t="s">
        <v>536</v>
      </c>
      <c r="I119" s="453"/>
    </row>
    <row r="120" spans="1:15" x14ac:dyDescent="0.25">
      <c r="B120" s="457" t="s">
        <v>537</v>
      </c>
      <c r="I120" s="453"/>
    </row>
    <row r="121" spans="1:15" x14ac:dyDescent="0.25">
      <c r="B121" s="453" t="s">
        <v>538</v>
      </c>
      <c r="C121" s="446"/>
      <c r="D121" s="446"/>
      <c r="E121" s="446"/>
      <c r="F121" s="446"/>
      <c r="G121" s="446"/>
      <c r="H121" s="446"/>
      <c r="I121" s="446"/>
      <c r="J121" s="446"/>
      <c r="K121" s="446"/>
      <c r="L121" s="446"/>
      <c r="M121" s="446"/>
      <c r="N121" s="446"/>
      <c r="O121" s="446"/>
    </row>
    <row r="122" spans="1:15" x14ac:dyDescent="0.25">
      <c r="B122" s="453" t="s">
        <v>539</v>
      </c>
    </row>
    <row r="123" spans="1:15" x14ac:dyDescent="0.25">
      <c r="B123" s="453" t="s">
        <v>540</v>
      </c>
    </row>
    <row r="124" spans="1:15" x14ac:dyDescent="0.25">
      <c r="B124" s="453" t="s">
        <v>541</v>
      </c>
    </row>
    <row r="125" spans="1:15" x14ac:dyDescent="0.25">
      <c r="B125" s="453" t="s">
        <v>542</v>
      </c>
    </row>
    <row r="126" spans="1:15" x14ac:dyDescent="0.25">
      <c r="B126" s="453" t="s">
        <v>543</v>
      </c>
    </row>
    <row r="127" spans="1:15" x14ac:dyDescent="0.25"/>
    <row r="128" spans="1:15"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sheetData>
  <mergeCells count="3">
    <mergeCell ref="A28:P28"/>
    <mergeCell ref="A94:P94"/>
    <mergeCell ref="A59:P59"/>
  </mergeCells>
  <pageMargins left="0.25" right="0.25" top="0.5" bottom="0.5" header="0.3" footer="0.3"/>
  <pageSetup scale="9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Q764"/>
  <sheetViews>
    <sheetView tabSelected="1" zoomScaleNormal="100" workbookViewId="0">
      <selection activeCell="I29" sqref="I29"/>
    </sheetView>
  </sheetViews>
  <sheetFormatPr defaultColWidth="0" defaultRowHeight="11.25" zeroHeight="1" x14ac:dyDescent="0.2"/>
  <cols>
    <col min="1" max="1" width="0.85546875" style="67" customWidth="1"/>
    <col min="2" max="2" width="2.28515625" style="67" customWidth="1"/>
    <col min="3" max="3" width="6" style="9" customWidth="1"/>
    <col min="4" max="4" width="3.28515625" style="9" customWidth="1"/>
    <col min="5" max="5" width="9" style="9" customWidth="1"/>
    <col min="6" max="6" width="2.7109375" style="9" customWidth="1"/>
    <col min="7" max="7" width="8.7109375" style="9" customWidth="1"/>
    <col min="8" max="8" width="2.85546875" style="9" customWidth="1"/>
    <col min="9" max="11" width="9.42578125" style="9" customWidth="1"/>
    <col min="12" max="12" width="2.7109375" style="9" customWidth="1"/>
    <col min="13" max="13" width="11.42578125" style="9" customWidth="1"/>
    <col min="14" max="14" width="2.7109375" style="9" customWidth="1"/>
    <col min="15" max="15" width="9.42578125" style="9" customWidth="1"/>
    <col min="16" max="16" width="2.7109375" style="9" customWidth="1"/>
    <col min="17" max="17" width="9.42578125" style="9" customWidth="1"/>
    <col min="18" max="18" width="2.7109375" style="9" customWidth="1"/>
    <col min="19" max="19" width="9.140625" style="9" customWidth="1"/>
    <col min="20" max="20" width="2.7109375" style="9" customWidth="1"/>
    <col min="21" max="21" width="9.42578125" style="9" customWidth="1"/>
    <col min="22" max="22" width="2.7109375" style="9" customWidth="1"/>
    <col min="23" max="24" width="9.42578125" style="9" customWidth="1"/>
    <col min="25" max="25" width="8.7109375" style="9" customWidth="1"/>
    <col min="26" max="26" width="0.42578125" style="9" customWidth="1"/>
    <col min="27" max="27" width="8" style="9" hidden="1" customWidth="1"/>
    <col min="28" max="28" width="8" style="8" hidden="1" customWidth="1"/>
    <col min="29" max="29" width="5.85546875" style="8" hidden="1" customWidth="1"/>
    <col min="30" max="30" width="5.7109375" style="8" hidden="1" customWidth="1"/>
    <col min="31" max="31" width="6.7109375" style="8" hidden="1" customWidth="1"/>
    <col min="32" max="32" width="5.7109375" style="8" hidden="1" customWidth="1"/>
    <col min="33" max="33" width="6.5703125" style="8" hidden="1" customWidth="1"/>
    <col min="34" max="34" width="8" style="8" hidden="1" customWidth="1"/>
    <col min="35" max="35" width="5.7109375" style="8" hidden="1" customWidth="1"/>
    <col min="36" max="37" width="5.7109375" style="9" hidden="1" customWidth="1"/>
    <col min="38" max="39" width="8" style="9" hidden="1" customWidth="1"/>
    <col min="40" max="40" width="4.85546875" style="9" hidden="1" customWidth="1"/>
    <col min="41" max="41" width="5.7109375" style="9" hidden="1" customWidth="1"/>
    <col min="42" max="42" width="0.85546875" style="9" hidden="1" customWidth="1"/>
    <col min="43" max="43" width="5" style="9" hidden="1" customWidth="1"/>
    <col min="44" max="44" width="8" style="9" hidden="1" customWidth="1"/>
    <col min="45" max="47" width="5.7109375" style="9" hidden="1" customWidth="1"/>
    <col min="48" max="48" width="8" style="9" hidden="1" customWidth="1"/>
    <col min="49" max="49" width="5.7109375" style="9" hidden="1" customWidth="1"/>
    <col min="50" max="50" width="4.85546875" style="9" hidden="1" customWidth="1"/>
    <col min="51" max="51" width="5.7109375" style="9" hidden="1" customWidth="1"/>
    <col min="52" max="52" width="2.28515625" style="9" hidden="1" customWidth="1"/>
    <col min="53" max="77" width="8" style="9" hidden="1" customWidth="1"/>
    <col min="78" max="80" width="8" style="8" hidden="1" customWidth="1"/>
    <col min="81" max="105" width="8" style="9" hidden="1" customWidth="1"/>
    <col min="106" max="106" width="8" style="8" hidden="1" customWidth="1"/>
    <col min="107" max="109" width="8" style="9" hidden="1" customWidth="1"/>
    <col min="110" max="110" width="8.7109375" style="9" hidden="1" customWidth="1"/>
    <col min="111" max="115" width="8" style="9" hidden="1" customWidth="1"/>
    <col min="116" max="116" width="8" style="13" hidden="1" customWidth="1"/>
    <col min="117" max="117" width="8" style="9" hidden="1" customWidth="1"/>
    <col min="118" max="118" width="8.7109375" style="9" hidden="1" customWidth="1"/>
    <col min="119" max="127" width="8" style="9" hidden="1" customWidth="1"/>
    <col min="128" max="128" width="9.28515625" style="9" hidden="1" customWidth="1"/>
    <col min="129" max="129" width="8.7109375" style="9" hidden="1" customWidth="1"/>
    <col min="130" max="130" width="8" style="9" hidden="1" customWidth="1"/>
    <col min="131" max="131" width="5.140625" style="9" hidden="1" customWidth="1"/>
    <col min="132" max="167" width="8" style="9" hidden="1" customWidth="1"/>
    <col min="168" max="169" width="8" style="8" hidden="1" customWidth="1"/>
    <col min="170" max="184" width="8" style="9" hidden="1" customWidth="1"/>
    <col min="185" max="195" width="0.140625" style="67" customWidth="1"/>
    <col min="196" max="196" width="1.85546875" style="9" hidden="1" customWidth="1"/>
    <col min="197" max="212" width="8" style="9" hidden="1" customWidth="1"/>
    <col min="213" max="213" width="8" style="22" hidden="1" customWidth="1"/>
    <col min="214" max="16384" width="8" style="9" hidden="1"/>
  </cols>
  <sheetData>
    <row r="1" spans="1:251" ht="1.5" customHeight="1" x14ac:dyDescent="0.2"/>
    <row r="2" spans="1:251" s="7" customFormat="1" ht="0.75" customHeight="1" x14ac:dyDescent="0.2">
      <c r="B2" s="312"/>
      <c r="C2" s="313"/>
      <c r="D2" s="313"/>
      <c r="E2" s="313"/>
      <c r="F2" s="313"/>
      <c r="G2" s="313"/>
      <c r="H2" s="313"/>
      <c r="I2" s="313"/>
      <c r="J2" s="313"/>
      <c r="K2" s="313"/>
      <c r="L2" s="313"/>
      <c r="M2" s="313"/>
      <c r="N2" s="313"/>
      <c r="O2" s="313"/>
      <c r="P2" s="313"/>
      <c r="Q2" s="313"/>
      <c r="R2" s="313"/>
      <c r="S2" s="313"/>
      <c r="T2" s="313"/>
      <c r="U2" s="313"/>
      <c r="V2" s="313"/>
      <c r="W2" s="314"/>
      <c r="X2" s="313"/>
      <c r="Y2" s="315"/>
      <c r="AB2" s="6"/>
      <c r="AC2" s="6"/>
      <c r="AD2" s="6"/>
      <c r="AE2" s="6"/>
      <c r="AF2" s="6"/>
      <c r="AG2" s="6"/>
      <c r="AH2" s="6"/>
      <c r="AI2" s="6"/>
      <c r="BZ2" s="6"/>
      <c r="CA2" s="6"/>
      <c r="CB2" s="6"/>
      <c r="DB2" s="6"/>
      <c r="DL2" s="13"/>
      <c r="EF2" s="339"/>
      <c r="FL2" s="6"/>
      <c r="FM2" s="6"/>
      <c r="GC2" s="67"/>
      <c r="GD2" s="67"/>
      <c r="GE2" s="67"/>
      <c r="GF2" s="67"/>
      <c r="GG2" s="67"/>
      <c r="GH2" s="67"/>
      <c r="GI2" s="67"/>
      <c r="GJ2" s="67"/>
      <c r="GK2" s="67"/>
      <c r="GL2" s="67"/>
      <c r="GM2" s="67"/>
      <c r="HE2" s="227"/>
    </row>
    <row r="3" spans="1:251" ht="11.25" hidden="1" customHeight="1" x14ac:dyDescent="0.2">
      <c r="B3" s="418"/>
      <c r="C3" s="409" t="s">
        <v>485</v>
      </c>
      <c r="D3" s="408"/>
      <c r="E3" s="410"/>
      <c r="F3" s="410"/>
      <c r="G3" s="410"/>
      <c r="H3" s="410"/>
      <c r="I3" s="410"/>
      <c r="J3" s="410"/>
      <c r="K3" s="410"/>
      <c r="L3" s="410"/>
      <c r="M3" s="410"/>
      <c r="N3" s="410"/>
      <c r="O3" s="410"/>
      <c r="P3" s="410"/>
      <c r="Q3" s="410"/>
      <c r="R3" s="410"/>
      <c r="S3" s="410"/>
      <c r="T3" s="410"/>
      <c r="U3" s="410"/>
      <c r="V3" s="410"/>
      <c r="W3" s="410"/>
      <c r="X3" s="410"/>
      <c r="Y3" s="411"/>
      <c r="AC3" s="216" t="str">
        <f>'Mx FORECAST'!FW29&amp;"    / "</f>
        <v xml:space="preserve">CFM56-5B4/3    / </v>
      </c>
      <c r="AD3" s="217"/>
      <c r="AE3" s="218">
        <f>VLOOKUP(FW29,SOURCE!AH5:AK49,4,FALSE)</f>
        <v>27000</v>
      </c>
      <c r="AF3" s="219" t="s">
        <v>139</v>
      </c>
      <c r="AG3" s="220" t="s">
        <v>82</v>
      </c>
      <c r="AH3" s="219"/>
      <c r="AI3" s="219"/>
      <c r="AJ3" s="219"/>
      <c r="AK3" s="219"/>
      <c r="AL3" s="219"/>
      <c r="AM3" s="219"/>
      <c r="AN3" s="219"/>
      <c r="AO3" s="219"/>
      <c r="AP3" s="7"/>
      <c r="AQ3" s="352" t="str">
        <f>IF(1*LEFT(U7,6)&lt;VLOOKUP(O7,AQ6:AY46,4,FALSE),"True","")</f>
        <v/>
      </c>
      <c r="AR3" s="343"/>
      <c r="AS3" s="353"/>
      <c r="AT3" s="219"/>
      <c r="AU3" s="219"/>
      <c r="AV3" s="219"/>
      <c r="AW3" s="219"/>
      <c r="AX3" s="219"/>
      <c r="AY3" s="219"/>
      <c r="AZ3" s="7"/>
      <c r="BA3" s="221" t="str">
        <f>'Mx FORECAST'!FW29</f>
        <v>CFM56-5B4/3</v>
      </c>
      <c r="BB3" s="222" t="s">
        <v>78</v>
      </c>
      <c r="BC3" s="220"/>
      <c r="BD3" s="220"/>
      <c r="BE3" s="220"/>
      <c r="BF3" s="220"/>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9"/>
      <c r="DC3" s="223" t="str">
        <f>"  "&amp;'Mx FORECAST'!FU29&amp;"  "&amp;'Mx FORECAST'!FW29&amp;"  "&amp;"MAINTENANCE COST &amp; DMC FORECAST"</f>
        <v xml:space="preserve">  A320-200  CFM56-5B4/3  MAINTENANCE COST &amp; DMC FORECAST</v>
      </c>
      <c r="DD3" s="223"/>
      <c r="DE3" s="223"/>
      <c r="DF3" s="223"/>
      <c r="DG3" s="223"/>
      <c r="DH3" s="223"/>
      <c r="DI3" s="223"/>
      <c r="DJ3" s="223"/>
      <c r="DK3" s="223"/>
      <c r="DM3" s="536" t="str">
        <f>'Mx FORECAST'!FU29&amp;"  "&amp;'Mx FORECAST'!FW29&amp;"  "&amp;"MAINTENANCE FORECAST"</f>
        <v>A320-200  CFM56-5B4/3  MAINTENANCE FORECAST</v>
      </c>
      <c r="DN3" s="536"/>
      <c r="DO3" s="536"/>
      <c r="DP3" s="536"/>
      <c r="DQ3" s="536"/>
      <c r="DR3" s="536"/>
      <c r="DS3" s="536"/>
      <c r="DT3" s="536"/>
      <c r="DU3" s="536"/>
      <c r="DV3" s="536"/>
      <c r="DW3" s="536"/>
      <c r="DX3" s="536"/>
      <c r="DY3" s="536"/>
      <c r="DZ3" s="536"/>
      <c r="EA3" s="7"/>
      <c r="EB3" s="3"/>
      <c r="EC3" s="536" t="str">
        <f>'Mx FORECAST'!FU29&amp;"  AIRFRAME  "&amp;"MAINTENANCE FORECAST"</f>
        <v>A320-200  AIRFRAME  MAINTENANCE FORECAST</v>
      </c>
      <c r="ED3" s="536"/>
      <c r="EE3" s="536"/>
      <c r="EF3" s="536"/>
      <c r="EG3" s="536"/>
      <c r="EH3" s="536"/>
      <c r="EI3" s="536"/>
      <c r="EJ3" s="536"/>
      <c r="EK3" s="536"/>
      <c r="EL3" s="536"/>
      <c r="EM3" s="536"/>
      <c r="EN3" s="536"/>
      <c r="EO3" s="536"/>
      <c r="EP3" s="7"/>
      <c r="EQ3" s="536" t="str">
        <f>'Mx FORECAST'!FU29&amp;"  ACCESSORY  "&amp;"MAINTENANCE FORECAST"</f>
        <v>A320-200  ACCESSORY  MAINTENANCE FORECAST</v>
      </c>
      <c r="ER3" s="536"/>
      <c r="ES3" s="536"/>
      <c r="ET3" s="536"/>
      <c r="EU3" s="536"/>
      <c r="EV3" s="536"/>
      <c r="EW3" s="536"/>
      <c r="EX3" s="536"/>
      <c r="EY3" s="536"/>
      <c r="EZ3" s="536"/>
      <c r="FA3" s="7"/>
      <c r="FB3" s="536" t="str">
        <f>'Mx FORECAST'!FW29&amp;"  "&amp;"MAINTENANCE FORECAST"</f>
        <v>CFM56-5B4/3  MAINTENANCE FORECAST</v>
      </c>
      <c r="FC3" s="536"/>
      <c r="FD3" s="536"/>
      <c r="FE3" s="536"/>
      <c r="FF3" s="536"/>
      <c r="FG3" s="536"/>
      <c r="FH3" s="536"/>
      <c r="FI3" s="536"/>
      <c r="FJ3" s="291"/>
      <c r="FK3" s="7"/>
      <c r="FL3" s="316" t="s">
        <v>90</v>
      </c>
      <c r="FM3" s="223"/>
      <c r="FN3" s="223"/>
      <c r="FO3" s="223"/>
      <c r="FP3" s="223"/>
      <c r="FQ3" s="223"/>
      <c r="FR3" s="223"/>
      <c r="FS3" s="223"/>
      <c r="FT3" s="223"/>
      <c r="FU3" s="223"/>
      <c r="FV3" s="223"/>
      <c r="FW3" s="223"/>
      <c r="FX3" s="340"/>
      <c r="FY3" s="341"/>
      <c r="FZ3" s="341"/>
      <c r="GA3" s="341"/>
      <c r="GB3" s="342"/>
      <c r="GC3" s="531" t="s">
        <v>280</v>
      </c>
      <c r="GD3" s="531"/>
      <c r="GE3" s="532"/>
      <c r="GF3" s="68" t="s">
        <v>269</v>
      </c>
      <c r="GG3" s="68" t="s">
        <v>269</v>
      </c>
      <c r="GH3" s="68" t="s">
        <v>282</v>
      </c>
      <c r="GI3" s="68" t="s">
        <v>282</v>
      </c>
      <c r="GJ3" s="68" t="s">
        <v>66</v>
      </c>
      <c r="GK3" s="68" t="s">
        <v>66</v>
      </c>
      <c r="GL3" s="68" t="s">
        <v>4</v>
      </c>
      <c r="GM3" s="68" t="s">
        <v>4</v>
      </c>
      <c r="GQ3" s="336" t="s">
        <v>54</v>
      </c>
      <c r="GR3" s="337" t="s">
        <v>2</v>
      </c>
      <c r="GS3" s="336" t="s">
        <v>74</v>
      </c>
      <c r="GT3" s="336" t="s">
        <v>355</v>
      </c>
      <c r="GU3" s="336" t="s">
        <v>3</v>
      </c>
      <c r="GV3" s="344" t="s">
        <v>36</v>
      </c>
      <c r="GW3" s="344" t="s">
        <v>37</v>
      </c>
      <c r="GX3" s="336" t="s">
        <v>12</v>
      </c>
      <c r="GY3" s="336" t="s">
        <v>13</v>
      </c>
      <c r="GZ3" s="336" t="s">
        <v>234</v>
      </c>
      <c r="HA3" s="336" t="s">
        <v>466</v>
      </c>
      <c r="HB3" s="337" t="s">
        <v>467</v>
      </c>
      <c r="HC3" s="337"/>
      <c r="HD3" s="337"/>
      <c r="HE3" s="337"/>
      <c r="HF3" s="337"/>
      <c r="HG3" s="337"/>
      <c r="HH3" s="337"/>
      <c r="HI3" s="337"/>
      <c r="HJ3" s="337"/>
      <c r="HK3" s="337"/>
      <c r="HL3" s="337"/>
      <c r="HM3" s="337"/>
      <c r="HN3" s="337" t="s">
        <v>468</v>
      </c>
      <c r="HO3" s="336"/>
      <c r="HP3" s="336"/>
      <c r="HQ3" s="336"/>
      <c r="HR3" s="336"/>
      <c r="HS3" s="336"/>
      <c r="HT3" s="336"/>
      <c r="HU3" s="336"/>
      <c r="HV3" s="336"/>
      <c r="HW3" s="336"/>
      <c r="HX3" s="336"/>
      <c r="HY3" s="336"/>
      <c r="HZ3" s="337" t="s">
        <v>469</v>
      </c>
      <c r="IA3" s="336"/>
      <c r="IB3" s="337"/>
      <c r="IC3" s="337"/>
      <c r="ID3" s="337"/>
      <c r="IE3" s="337"/>
      <c r="IF3" s="337"/>
      <c r="IG3" s="337"/>
      <c r="IH3" s="337"/>
      <c r="II3" s="337"/>
    </row>
    <row r="4" spans="1:251" ht="21" x14ac:dyDescent="0.35">
      <c r="B4" s="552" t="s">
        <v>488</v>
      </c>
      <c r="C4" s="553"/>
      <c r="D4" s="553"/>
      <c r="E4" s="553"/>
      <c r="F4" s="553"/>
      <c r="G4" s="553"/>
      <c r="H4" s="553"/>
      <c r="I4" s="553"/>
      <c r="J4" s="553"/>
      <c r="K4" s="553"/>
      <c r="L4" s="553"/>
      <c r="M4" s="553"/>
      <c r="N4" s="553"/>
      <c r="O4" s="553"/>
      <c r="P4" s="553"/>
      <c r="Q4" s="553"/>
      <c r="R4" s="553"/>
      <c r="S4" s="553"/>
      <c r="T4" s="553"/>
      <c r="U4" s="553"/>
      <c r="V4" s="553"/>
      <c r="W4" s="553"/>
      <c r="X4" s="553"/>
      <c r="Y4" s="554"/>
      <c r="AC4" s="10" t="s">
        <v>21</v>
      </c>
      <c r="AD4" s="528" t="s">
        <v>262</v>
      </c>
      <c r="AE4" s="529"/>
      <c r="AF4" s="529"/>
      <c r="AG4" s="530"/>
      <c r="AH4" s="522" t="s">
        <v>5</v>
      </c>
      <c r="AI4" s="523"/>
      <c r="AJ4" s="523"/>
      <c r="AK4" s="524"/>
      <c r="AL4" s="522" t="s">
        <v>6</v>
      </c>
      <c r="AM4" s="523"/>
      <c r="AN4" s="523"/>
      <c r="AO4" s="524"/>
      <c r="AP4" s="7"/>
      <c r="AQ4" s="285" t="s">
        <v>21</v>
      </c>
      <c r="AR4" s="522" t="s">
        <v>6</v>
      </c>
      <c r="AS4" s="523"/>
      <c r="AT4" s="523"/>
      <c r="AU4" s="524"/>
      <c r="AV4" s="522" t="s">
        <v>6</v>
      </c>
      <c r="AW4" s="523"/>
      <c r="AX4" s="523"/>
      <c r="AY4" s="524"/>
      <c r="AZ4" s="7"/>
      <c r="BA4" s="257"/>
      <c r="BB4" s="258" t="s">
        <v>40</v>
      </c>
      <c r="BC4" s="258" t="s">
        <v>39</v>
      </c>
      <c r="BD4" s="258" t="s">
        <v>39</v>
      </c>
      <c r="BE4" s="525" t="s">
        <v>76</v>
      </c>
      <c r="BF4" s="527"/>
      <c r="BG4" s="525" t="s">
        <v>42</v>
      </c>
      <c r="BH4" s="526"/>
      <c r="BI4" s="527"/>
      <c r="BJ4" s="525" t="s">
        <v>77</v>
      </c>
      <c r="BK4" s="527"/>
      <c r="BL4" s="525" t="s">
        <v>43</v>
      </c>
      <c r="BM4" s="526"/>
      <c r="BN4" s="527"/>
      <c r="BO4" s="525" t="s">
        <v>44</v>
      </c>
      <c r="BP4" s="526"/>
      <c r="BQ4" s="527"/>
      <c r="BR4" s="525" t="s">
        <v>45</v>
      </c>
      <c r="BS4" s="526"/>
      <c r="BT4" s="527"/>
      <c r="BU4" s="525" t="s">
        <v>46</v>
      </c>
      <c r="BV4" s="526"/>
      <c r="BW4" s="527"/>
      <c r="BX4" s="525" t="s">
        <v>47</v>
      </c>
      <c r="BY4" s="526"/>
      <c r="BZ4" s="527"/>
      <c r="CA4" s="525" t="s">
        <v>48</v>
      </c>
      <c r="CB4" s="526"/>
      <c r="CC4" s="527"/>
      <c r="CD4" s="525" t="s">
        <v>49</v>
      </c>
      <c r="CE4" s="526"/>
      <c r="CF4" s="527"/>
      <c r="CG4" s="525" t="s">
        <v>50</v>
      </c>
      <c r="CH4" s="526"/>
      <c r="CI4" s="527"/>
      <c r="CJ4" s="525" t="s">
        <v>51</v>
      </c>
      <c r="CK4" s="526"/>
      <c r="CL4" s="527"/>
      <c r="CM4" s="525" t="s">
        <v>204</v>
      </c>
      <c r="CN4" s="526"/>
      <c r="CO4" s="527"/>
      <c r="CP4" s="525" t="s">
        <v>205</v>
      </c>
      <c r="CQ4" s="526"/>
      <c r="CR4" s="527"/>
      <c r="CS4" s="525" t="s">
        <v>206</v>
      </c>
      <c r="CT4" s="526"/>
      <c r="CU4" s="527"/>
      <c r="CV4" s="525" t="s">
        <v>207</v>
      </c>
      <c r="CW4" s="526"/>
      <c r="CX4" s="527"/>
      <c r="CY4" s="525" t="s">
        <v>208</v>
      </c>
      <c r="CZ4" s="526"/>
      <c r="DA4" s="527"/>
      <c r="DB4" s="9"/>
      <c r="DC4" s="269" t="s">
        <v>278</v>
      </c>
      <c r="DD4" s="270"/>
      <c r="DE4" s="271" t="s">
        <v>277</v>
      </c>
      <c r="DF4" s="272" t="s">
        <v>70</v>
      </c>
      <c r="DG4" s="525" t="s">
        <v>57</v>
      </c>
      <c r="DH4" s="526"/>
      <c r="DI4" s="527"/>
      <c r="DJ4" s="272" t="s">
        <v>58</v>
      </c>
      <c r="DK4" s="273" t="s">
        <v>70</v>
      </c>
      <c r="DM4" s="549" t="s">
        <v>144</v>
      </c>
      <c r="DN4" s="549"/>
      <c r="DO4" s="550"/>
      <c r="DP4" s="551" t="s">
        <v>81</v>
      </c>
      <c r="DQ4" s="549"/>
      <c r="DR4" s="549"/>
      <c r="DS4" s="549"/>
      <c r="DT4" s="549"/>
      <c r="DU4" s="549"/>
      <c r="DV4" s="549"/>
      <c r="DW4" s="550"/>
      <c r="DX4" s="551" t="s">
        <v>145</v>
      </c>
      <c r="DY4" s="549"/>
      <c r="DZ4" s="549"/>
      <c r="EA4" s="7"/>
      <c r="EB4" s="3"/>
      <c r="EC4" s="545" t="s">
        <v>87</v>
      </c>
      <c r="ED4" s="546"/>
      <c r="EE4" s="546"/>
      <c r="EF4" s="547" t="s">
        <v>86</v>
      </c>
      <c r="EG4" s="547"/>
      <c r="EH4" s="547"/>
      <c r="EI4" s="548" t="s">
        <v>143</v>
      </c>
      <c r="EJ4" s="547"/>
      <c r="EK4" s="547"/>
      <c r="EL4" s="548" t="s">
        <v>71</v>
      </c>
      <c r="EM4" s="547"/>
      <c r="EN4" s="547"/>
      <c r="EO4" s="276"/>
      <c r="EP4" s="7"/>
      <c r="EQ4" s="533" t="s">
        <v>87</v>
      </c>
      <c r="ER4" s="534"/>
      <c r="ES4" s="535" t="s">
        <v>86</v>
      </c>
      <c r="ET4" s="534"/>
      <c r="EU4" s="535" t="s">
        <v>143</v>
      </c>
      <c r="EV4" s="533"/>
      <c r="EW4" s="535" t="s">
        <v>71</v>
      </c>
      <c r="EX4" s="534"/>
      <c r="EY4" s="277" t="s">
        <v>66</v>
      </c>
      <c r="EZ4" s="276" t="s">
        <v>83</v>
      </c>
      <c r="FA4" s="7"/>
      <c r="FB4" s="533" t="s">
        <v>87</v>
      </c>
      <c r="FC4" s="534"/>
      <c r="FD4" s="535" t="s">
        <v>86</v>
      </c>
      <c r="FE4" s="534"/>
      <c r="FF4" s="535" t="s">
        <v>143</v>
      </c>
      <c r="FG4" s="533"/>
      <c r="FH4" s="535" t="s">
        <v>71</v>
      </c>
      <c r="FI4" s="533"/>
      <c r="FJ4" s="277" t="s">
        <v>80</v>
      </c>
      <c r="FK4" s="7"/>
      <c r="FL4" s="278" t="s">
        <v>33</v>
      </c>
      <c r="FM4" s="278" t="s">
        <v>4</v>
      </c>
      <c r="FN4" s="537" t="s">
        <v>35</v>
      </c>
      <c r="FO4" s="538"/>
      <c r="FP4" s="538"/>
      <c r="FQ4" s="539"/>
      <c r="FR4" s="278" t="s">
        <v>89</v>
      </c>
      <c r="FS4" s="279" t="s">
        <v>18</v>
      </c>
      <c r="FT4" s="279"/>
      <c r="FU4" s="279" t="s">
        <v>365</v>
      </c>
      <c r="FV4" s="279" t="s">
        <v>25</v>
      </c>
      <c r="FW4" s="278" t="s">
        <v>88</v>
      </c>
      <c r="FX4" s="13" t="s">
        <v>137</v>
      </c>
      <c r="FY4" s="32">
        <f>IF(FY8&lt;23000,VLOOKUP($Q$7,SOURCE!BW5:BZ25,2,FALSE),IF(FY8=23500,VLOOKUP($Q$7,SOURCE!BW5:BZ25,3,FALSE),VLOOKUP($Q$7,SOURCE!BW5:BZ25,4,FALSE)))</f>
        <v>1</v>
      </c>
      <c r="FZ4" s="4" t="s">
        <v>55</v>
      </c>
      <c r="GA4" s="38">
        <f>IF($O$7="","",$M$7/12)</f>
        <v>291.66666666666669</v>
      </c>
      <c r="GB4" s="38"/>
      <c r="GC4" s="68" t="s">
        <v>203</v>
      </c>
      <c r="GD4" s="308" t="s">
        <v>84</v>
      </c>
      <c r="GE4" s="308" t="s">
        <v>72</v>
      </c>
      <c r="GF4" s="308" t="s">
        <v>70</v>
      </c>
      <c r="GG4" s="308" t="s">
        <v>72</v>
      </c>
      <c r="GH4" s="308" t="s">
        <v>70</v>
      </c>
      <c r="GI4" s="308" t="s">
        <v>72</v>
      </c>
      <c r="GJ4" s="308" t="s">
        <v>70</v>
      </c>
      <c r="GK4" s="308" t="s">
        <v>72</v>
      </c>
      <c r="GL4" s="308" t="s">
        <v>70</v>
      </c>
      <c r="GM4" s="308" t="s">
        <v>72</v>
      </c>
      <c r="GO4" s="266" t="s">
        <v>68</v>
      </c>
      <c r="GP4" s="266" t="s">
        <v>456</v>
      </c>
      <c r="GQ4" s="14">
        <f>IF(GS4="","",COUNT($GS$4:GS4))</f>
        <v>1</v>
      </c>
      <c r="GR4" s="24" t="str">
        <f>IF(GQ4="","",GP4)</f>
        <v>1C-Check</v>
      </c>
      <c r="GS4" s="14">
        <f>IF(ROUND(DI6,0)&lt;=$FW$23,DI6,"")</f>
        <v>18</v>
      </c>
      <c r="GU4" s="263">
        <f>IF(GS4="","",$DF$6)</f>
        <v>185400</v>
      </c>
      <c r="GV4" s="13"/>
      <c r="GW4" s="13"/>
      <c r="GX4" s="13"/>
      <c r="GY4" s="14"/>
      <c r="GZ4" s="5">
        <f>COUNT(GQ4:GQ44)</f>
        <v>20</v>
      </c>
      <c r="HA4" s="14">
        <f>IF(HC4="","",_xlfn.RANK.EQ(HC4,$HC$4:$HC$44,1)+COUNTIF($HC$4:$HC$44,HC4)-COUNTIF($HC$4:HC4,HC4))</f>
        <v>1</v>
      </c>
      <c r="HB4" s="24">
        <f>IF(1&lt;=COUNT($GQ$4:$GQ$44),1,"")</f>
        <v>1</v>
      </c>
      <c r="HC4" s="14">
        <f t="shared" ref="HC4:HC43" si="0">VLOOKUP(HB4,$GQ$4:$GW$44,3)</f>
        <v>18</v>
      </c>
      <c r="HD4" s="24" t="str">
        <f>IF(HE4="","",IF(OR(RIGHT(HE4,5)="Check",HE4="6Y SI",HE4="12Y SI",HE4="12Y SC"),"Airframe",IF(HE4="Overhaul","Gear",IF(HE4="SV","APU","Engine"))))</f>
        <v>Airframe</v>
      </c>
      <c r="HE4" s="13" t="str">
        <f t="shared" ref="HE4:HE43" si="1">VLOOKUP(HB4,$GQ$4:$GW$44,2)</f>
        <v>1C-Check</v>
      </c>
      <c r="HF4" s="13" t="str">
        <f t="shared" ref="HF4:HF13" si="2">IF(HB4="","",IF(HB4&lt;10,HB4&amp;"       "&amp;HD4&amp;"  "&amp;HE4,HB4&amp;"    "&amp;HD4&amp;"  "&amp;HE4))</f>
        <v>1       Airframe  1C-Check</v>
      </c>
      <c r="HG4" s="13"/>
      <c r="HH4" s="24" t="str">
        <f t="shared" ref="HH4:HH43" si="3">IF(HE4="SV (2 Each)",VLOOKUP(HB4,$GQ$4:$GY$44,4),"")</f>
        <v/>
      </c>
      <c r="HI4" s="66">
        <f t="shared" ref="HI4:HI43" si="4">VLOOKUP(HB4,$GQ$4:$GW$44,5)</f>
        <v>185400</v>
      </c>
      <c r="HJ4" s="82" t="str">
        <f t="shared" ref="HJ4:HJ44" si="5">IF(HE4="SV (2 Each)",ROUND(VLOOKUP(HB4,$GQ$4:$GY$44,6),-3),"")</f>
        <v/>
      </c>
      <c r="HK4" s="66" t="str">
        <f t="shared" ref="HK4:HK44" si="6">IF(HE4="SV (2 Each)",VLOOKUP(HB4,$GQ$4:$GY$44,7),"")</f>
        <v/>
      </c>
      <c r="HL4" s="66" t="str">
        <f t="shared" ref="HL4:HL44" si="7">IF(HE4="SV (2 Each)",VLOOKUP(HB4,$GQ$4:$GY$44,8),"")</f>
        <v/>
      </c>
      <c r="HM4" s="66" t="str">
        <f t="shared" ref="HM4:HM44" si="8">IF(HE4="SV (2 Each)",VLOOKUP(HB4,$GQ$4:$GY$44,9),"")</f>
        <v/>
      </c>
      <c r="HN4" s="24">
        <f>IF(HO4="","",1)</f>
        <v>1</v>
      </c>
      <c r="HO4" s="14">
        <f t="shared" ref="HO4:HO41" si="9">VLOOKUP(HB4,$HA$4:$HM$43,3,FALSE)</f>
        <v>18</v>
      </c>
      <c r="HP4" s="24" t="str">
        <f t="shared" ref="HP4:HP41" si="10">VLOOKUP(HB4,$HA$4:$HM$43,4,FALSE)</f>
        <v>Airframe</v>
      </c>
      <c r="HQ4" s="24" t="str">
        <f t="shared" ref="HQ4:HQ41" si="11">VLOOKUP(HB4,$HA$4:$HM$43,5,FALSE)</f>
        <v>1C-Check</v>
      </c>
      <c r="HR4" s="13" t="str">
        <f>IF(HN4="","",HN4&amp;"       "&amp;HP4&amp;"  "&amp;HQ4)</f>
        <v>1       Airframe  1C-Check</v>
      </c>
      <c r="HT4" s="13" t="str">
        <f t="shared" ref="HT4:HT41" si="12">VLOOKUP(HB4,$HA$4:$HM$43,8,FALSE)</f>
        <v/>
      </c>
      <c r="HU4" s="75">
        <f t="shared" ref="HU4:HU41" si="13">VLOOKUP(HB4,$HA$4:$HM$43,9,FALSE)</f>
        <v>185400</v>
      </c>
      <c r="HV4" s="75" t="str">
        <f>IF(HE4="SV (2 Each)",VLOOKUP(HB4,$HA$4:$HM$43,10,FALSE),"")</f>
        <v/>
      </c>
      <c r="HW4" s="75" t="str">
        <f t="shared" ref="HW4:HW41" si="14">VLOOKUP(HB4,$HA$4:$HM$43,11,FALSE)</f>
        <v/>
      </c>
      <c r="HX4" s="75" t="str">
        <f t="shared" ref="HX4:HX41" si="15">VLOOKUP(HB4,$HA$4:$HM$43,12,FALSE)</f>
        <v/>
      </c>
      <c r="HY4" s="66" t="str">
        <f t="shared" ref="HY4:HY41" si="16">VLOOKUP(HB4,$HA$4:$HM$43,13,FALSE)</f>
        <v/>
      </c>
      <c r="HZ4" s="151" t="str">
        <f t="shared" ref="HZ4:HZ41" si="17">IF($E$26="Event",HD4,HP4)</f>
        <v>Airframe</v>
      </c>
      <c r="IA4" s="151" t="str">
        <f t="shared" ref="IA4:IA41" si="18">IF($E$26="Event",HF4,HR4)</f>
        <v>1       Airframe  1C-Check</v>
      </c>
      <c r="IB4" s="151"/>
      <c r="IC4" s="149">
        <f t="shared" ref="IC4:IC41" si="19">IF($E$26="Event",HC4,HO4)</f>
        <v>18</v>
      </c>
      <c r="ID4" s="151" t="str">
        <f t="shared" ref="ID4:ID41" si="20">IF($E$26="Event",HH4,HT4)</f>
        <v/>
      </c>
      <c r="IE4" s="33">
        <f t="shared" ref="IE4:IE41" si="21">IF($E$26="Event",HI4,HU4)</f>
        <v>185400</v>
      </c>
      <c r="IF4" s="33" t="str">
        <f t="shared" ref="IF4:IF41" si="22">IF($E$26="Event",HJ4,HV4)</f>
        <v/>
      </c>
      <c r="IG4" s="33" t="str">
        <f t="shared" ref="IG4:IG41" si="23">IF($E$26="Event",HK4,HW4)</f>
        <v/>
      </c>
      <c r="IH4" s="33" t="str">
        <f t="shared" ref="IH4:IH41" si="24">IF($E$26="Event",HL4,HX4)</f>
        <v/>
      </c>
      <c r="II4" s="33" t="str">
        <f t="shared" ref="II4:II41" si="25">IF($E$26="Event",HM4,HY4)</f>
        <v/>
      </c>
    </row>
    <row r="5" spans="1:251" ht="14.25" customHeight="1" x14ac:dyDescent="0.2">
      <c r="B5" s="458"/>
      <c r="H5" s="52"/>
      <c r="I5" s="52"/>
      <c r="J5" s="248"/>
      <c r="K5" s="251" t="s">
        <v>487</v>
      </c>
      <c r="L5" s="248"/>
      <c r="M5" s="251"/>
      <c r="N5" s="250"/>
      <c r="O5" s="250"/>
      <c r="P5" s="250"/>
      <c r="Q5" s="248"/>
      <c r="R5" s="248"/>
      <c r="S5" s="248"/>
      <c r="T5" s="52"/>
      <c r="U5" s="52"/>
      <c r="V5" s="52"/>
      <c r="W5" s="52"/>
      <c r="X5" s="251" t="s">
        <v>490</v>
      </c>
      <c r="Y5" s="225"/>
      <c r="AC5" s="285" t="s">
        <v>22</v>
      </c>
      <c r="AD5" s="284" t="s">
        <v>28</v>
      </c>
      <c r="AE5" s="284" t="s">
        <v>26</v>
      </c>
      <c r="AF5" s="284" t="s">
        <v>29</v>
      </c>
      <c r="AG5" s="284" t="s">
        <v>27</v>
      </c>
      <c r="AH5" s="284" t="s">
        <v>32</v>
      </c>
      <c r="AI5" s="284" t="s">
        <v>9</v>
      </c>
      <c r="AJ5" s="284" t="s">
        <v>13</v>
      </c>
      <c r="AK5" s="284" t="s">
        <v>12</v>
      </c>
      <c r="AL5" s="284" t="s">
        <v>32</v>
      </c>
      <c r="AM5" s="284" t="s">
        <v>9</v>
      </c>
      <c r="AN5" s="284" t="s">
        <v>13</v>
      </c>
      <c r="AO5" s="284" t="s">
        <v>12</v>
      </c>
      <c r="AP5" s="7"/>
      <c r="AQ5" s="285" t="s">
        <v>22</v>
      </c>
      <c r="AR5" s="284" t="s">
        <v>32</v>
      </c>
      <c r="AS5" s="284" t="s">
        <v>9</v>
      </c>
      <c r="AT5" s="284" t="s">
        <v>13</v>
      </c>
      <c r="AU5" s="284" t="s">
        <v>12</v>
      </c>
      <c r="AV5" s="284" t="s">
        <v>32</v>
      </c>
      <c r="AW5" s="284" t="s">
        <v>9</v>
      </c>
      <c r="AX5" s="284" t="s">
        <v>13</v>
      </c>
      <c r="AY5" s="284" t="s">
        <v>12</v>
      </c>
      <c r="AZ5" s="7"/>
      <c r="BA5" s="259" t="s">
        <v>54</v>
      </c>
      <c r="BB5" s="260" t="s">
        <v>41</v>
      </c>
      <c r="BC5" s="260" t="s">
        <v>3</v>
      </c>
      <c r="BD5" s="260" t="s">
        <v>10</v>
      </c>
      <c r="BE5" s="261" t="s">
        <v>13</v>
      </c>
      <c r="BF5" s="262" t="s">
        <v>12</v>
      </c>
      <c r="BG5" s="260" t="s">
        <v>36</v>
      </c>
      <c r="BH5" s="260" t="s">
        <v>37</v>
      </c>
      <c r="BI5" s="260" t="s">
        <v>38</v>
      </c>
      <c r="BJ5" s="261" t="s">
        <v>13</v>
      </c>
      <c r="BK5" s="262" t="s">
        <v>12</v>
      </c>
      <c r="BL5" s="260" t="s">
        <v>36</v>
      </c>
      <c r="BM5" s="260" t="s">
        <v>37</v>
      </c>
      <c r="BN5" s="260" t="s">
        <v>38</v>
      </c>
      <c r="BO5" s="260" t="s">
        <v>36</v>
      </c>
      <c r="BP5" s="260" t="s">
        <v>37</v>
      </c>
      <c r="BQ5" s="260" t="s">
        <v>38</v>
      </c>
      <c r="BR5" s="260" t="s">
        <v>36</v>
      </c>
      <c r="BS5" s="260" t="s">
        <v>37</v>
      </c>
      <c r="BT5" s="260" t="s">
        <v>38</v>
      </c>
      <c r="BU5" s="260" t="s">
        <v>36</v>
      </c>
      <c r="BV5" s="260" t="s">
        <v>37</v>
      </c>
      <c r="BW5" s="260" t="s">
        <v>38</v>
      </c>
      <c r="BX5" s="260" t="s">
        <v>36</v>
      </c>
      <c r="BY5" s="260" t="s">
        <v>37</v>
      </c>
      <c r="BZ5" s="260" t="s">
        <v>38</v>
      </c>
      <c r="CA5" s="260" t="s">
        <v>36</v>
      </c>
      <c r="CB5" s="260" t="s">
        <v>37</v>
      </c>
      <c r="CC5" s="260" t="s">
        <v>38</v>
      </c>
      <c r="CD5" s="260" t="s">
        <v>36</v>
      </c>
      <c r="CE5" s="260" t="s">
        <v>37</v>
      </c>
      <c r="CF5" s="260" t="s">
        <v>38</v>
      </c>
      <c r="CG5" s="260" t="s">
        <v>36</v>
      </c>
      <c r="CH5" s="260" t="s">
        <v>37</v>
      </c>
      <c r="CI5" s="260" t="s">
        <v>38</v>
      </c>
      <c r="CJ5" s="260" t="s">
        <v>36</v>
      </c>
      <c r="CK5" s="260" t="s">
        <v>37</v>
      </c>
      <c r="CL5" s="260" t="s">
        <v>38</v>
      </c>
      <c r="CM5" s="260" t="s">
        <v>36</v>
      </c>
      <c r="CN5" s="260" t="s">
        <v>37</v>
      </c>
      <c r="CO5" s="260" t="s">
        <v>38</v>
      </c>
      <c r="CP5" s="260" t="s">
        <v>36</v>
      </c>
      <c r="CQ5" s="260" t="s">
        <v>37</v>
      </c>
      <c r="CR5" s="260" t="s">
        <v>38</v>
      </c>
      <c r="CS5" s="260" t="s">
        <v>36</v>
      </c>
      <c r="CT5" s="260" t="s">
        <v>37</v>
      </c>
      <c r="CU5" s="260" t="s">
        <v>38</v>
      </c>
      <c r="CV5" s="260" t="s">
        <v>36</v>
      </c>
      <c r="CW5" s="260" t="s">
        <v>37</v>
      </c>
      <c r="CX5" s="260" t="s">
        <v>38</v>
      </c>
      <c r="CY5" s="260" t="s">
        <v>36</v>
      </c>
      <c r="CZ5" s="260" t="s">
        <v>37</v>
      </c>
      <c r="DA5" s="260" t="s">
        <v>38</v>
      </c>
      <c r="DB5" s="9"/>
      <c r="DC5" s="267" t="s">
        <v>59</v>
      </c>
      <c r="DD5" s="267"/>
      <c r="DE5" s="259" t="s">
        <v>2</v>
      </c>
      <c r="DF5" s="260" t="s">
        <v>3</v>
      </c>
      <c r="DG5" s="261" t="s">
        <v>60</v>
      </c>
      <c r="DH5" s="261" t="s">
        <v>61</v>
      </c>
      <c r="DI5" s="261" t="s">
        <v>62</v>
      </c>
      <c r="DJ5" s="260" t="s">
        <v>63</v>
      </c>
      <c r="DK5" s="268" t="s">
        <v>9</v>
      </c>
      <c r="DM5" s="280" t="s">
        <v>11</v>
      </c>
      <c r="DN5" s="273" t="s">
        <v>75</v>
      </c>
      <c r="DO5" s="273" t="s">
        <v>69</v>
      </c>
      <c r="DP5" s="273" t="s">
        <v>265</v>
      </c>
      <c r="DQ5" s="273" t="s">
        <v>455</v>
      </c>
      <c r="DR5" s="273" t="s">
        <v>240</v>
      </c>
      <c r="DS5" s="273" t="s">
        <v>83</v>
      </c>
      <c r="DT5" s="281" t="s">
        <v>66</v>
      </c>
      <c r="DU5" s="273" t="s">
        <v>80</v>
      </c>
      <c r="DV5" s="273" t="s">
        <v>79</v>
      </c>
      <c r="DW5" s="273" t="s">
        <v>73</v>
      </c>
      <c r="DX5" s="273" t="s">
        <v>143</v>
      </c>
      <c r="DY5" s="273" t="s">
        <v>71</v>
      </c>
      <c r="DZ5" s="273" t="s">
        <v>72</v>
      </c>
      <c r="EA5" s="7"/>
      <c r="EB5" s="3"/>
      <c r="EC5" s="273" t="str">
        <f>DP5</f>
        <v>C-Check</v>
      </c>
      <c r="ED5" s="273" t="str">
        <f>DQ5</f>
        <v>6Y SI</v>
      </c>
      <c r="EE5" s="273" t="str">
        <f>DR5</f>
        <v>12Y SI</v>
      </c>
      <c r="EF5" s="273" t="str">
        <f>DP5</f>
        <v>C-Check</v>
      </c>
      <c r="EG5" s="273" t="str">
        <f>DQ5</f>
        <v>6Y SI</v>
      </c>
      <c r="EH5" s="273" t="str">
        <f>DR5</f>
        <v>12Y SI</v>
      </c>
      <c r="EI5" s="273" t="str">
        <f>EC5</f>
        <v>C-Check</v>
      </c>
      <c r="EJ5" s="273" t="str">
        <f>ED5</f>
        <v>6Y SI</v>
      </c>
      <c r="EK5" s="273" t="str">
        <f>EE5</f>
        <v>12Y SI</v>
      </c>
      <c r="EL5" s="273" t="str">
        <f>EC5</f>
        <v>C-Check</v>
      </c>
      <c r="EM5" s="273" t="str">
        <f>EG5</f>
        <v>6Y SI</v>
      </c>
      <c r="EN5" s="273" t="str">
        <f>EH5</f>
        <v>12Y SI</v>
      </c>
      <c r="EO5" s="273" t="s">
        <v>281</v>
      </c>
      <c r="EP5" s="7"/>
      <c r="EQ5" s="273" t="s">
        <v>83</v>
      </c>
      <c r="ER5" s="273" t="s">
        <v>66</v>
      </c>
      <c r="ES5" s="273" t="s">
        <v>83</v>
      </c>
      <c r="ET5" s="273" t="s">
        <v>66</v>
      </c>
      <c r="EU5" s="273" t="str">
        <f>EQ5</f>
        <v>Gear</v>
      </c>
      <c r="EV5" s="273" t="str">
        <f>ER5</f>
        <v>APU</v>
      </c>
      <c r="EW5" s="273" t="s">
        <v>83</v>
      </c>
      <c r="EX5" s="273" t="s">
        <v>66</v>
      </c>
      <c r="EY5" s="272" t="s">
        <v>281</v>
      </c>
      <c r="EZ5" s="280" t="s">
        <v>281</v>
      </c>
      <c r="FA5" s="7"/>
      <c r="FB5" s="273" t="s">
        <v>80</v>
      </c>
      <c r="FC5" s="273" t="s">
        <v>79</v>
      </c>
      <c r="FD5" s="273" t="s">
        <v>80</v>
      </c>
      <c r="FE5" s="273" t="s">
        <v>79</v>
      </c>
      <c r="FF5" s="273" t="str">
        <f>FB5</f>
        <v>Modules</v>
      </c>
      <c r="FG5" s="273" t="str">
        <f>FC5</f>
        <v>LLPs</v>
      </c>
      <c r="FH5" s="273" t="s">
        <v>80</v>
      </c>
      <c r="FI5" s="273" t="s">
        <v>79</v>
      </c>
      <c r="FJ5" s="272" t="s">
        <v>281</v>
      </c>
      <c r="FK5" s="7"/>
      <c r="FL5" s="345" t="s">
        <v>34</v>
      </c>
      <c r="FM5" s="345" t="s">
        <v>34</v>
      </c>
      <c r="FN5" s="345" t="s">
        <v>376</v>
      </c>
      <c r="FO5" s="345" t="s">
        <v>377</v>
      </c>
      <c r="FP5" s="345" t="s">
        <v>378</v>
      </c>
      <c r="FQ5" s="345" t="s">
        <v>379</v>
      </c>
      <c r="FR5" s="283" t="s">
        <v>34</v>
      </c>
      <c r="FS5" s="282" t="s">
        <v>34</v>
      </c>
      <c r="FT5" s="292" t="s">
        <v>356</v>
      </c>
      <c r="FU5" s="292" t="s">
        <v>366</v>
      </c>
      <c r="FV5" s="282" t="s">
        <v>34</v>
      </c>
      <c r="FW5" s="282" t="s">
        <v>34</v>
      </c>
      <c r="FX5" s="13" t="s">
        <v>138</v>
      </c>
      <c r="FY5" s="32">
        <f>VLOOKUP(S7,SOURCE!BU5:BV7,2,FALSE)</f>
        <v>1</v>
      </c>
      <c r="FZ5" s="4" t="s">
        <v>56</v>
      </c>
      <c r="GA5" s="38">
        <f>IF($O$7="","",$GA$4/$O$7)</f>
        <v>145.83333333333334</v>
      </c>
      <c r="GB5" s="38"/>
      <c r="GC5" s="68">
        <f t="shared" ref="GC5:GC36" si="26">DM6</f>
        <v>0</v>
      </c>
      <c r="GD5" s="78">
        <f t="shared" ref="GD5:GD36" si="27">IF(DM6="","",SUM(DP6:DV6))</f>
        <v>0</v>
      </c>
      <c r="GE5" s="309">
        <f t="shared" ref="GE5:GE36" si="28">IF(DM6="",DZ6,DZ6)</f>
        <v>1</v>
      </c>
      <c r="GF5" s="78">
        <f t="shared" ref="GF5:GF36" si="29">IF(DM6="","",SUM(DP6:DR6))</f>
        <v>0</v>
      </c>
      <c r="GG5" s="310">
        <f t="shared" ref="GG5:GG36" si="30">IF(DM6="",GG4,EO6)</f>
        <v>1</v>
      </c>
      <c r="GH5" s="78">
        <f t="shared" ref="GH5:GH36" si="31">IF(DM6="","",DS6)</f>
        <v>0</v>
      </c>
      <c r="GI5" s="310">
        <f t="shared" ref="GI5:GI36" si="32">IF(DM6="",GI4,EZ6)</f>
        <v>1</v>
      </c>
      <c r="GJ5" s="311">
        <f t="shared" ref="GJ5:GJ36" si="33">IF(DM6="","",DT6)</f>
        <v>0</v>
      </c>
      <c r="GK5" s="310">
        <f t="shared" ref="GK5:GK36" si="34">IF(DM6="",GK4,EY6)</f>
        <v>1</v>
      </c>
      <c r="GL5" s="311">
        <f t="shared" ref="GL5:GL36" si="35">IF(DM6="","",SUM(DU6:DV6))</f>
        <v>0</v>
      </c>
      <c r="GM5" s="310">
        <f t="shared" ref="GM5:GM36" si="36">IF(DM6="",GM4,FJ6)</f>
        <v>1</v>
      </c>
      <c r="GO5" s="266" t="s">
        <v>68</v>
      </c>
      <c r="GP5" s="266" t="s">
        <v>457</v>
      </c>
      <c r="GQ5" s="14">
        <f>IF(GS5="","",COUNT($GS$4:GS5))</f>
        <v>2</v>
      </c>
      <c r="GR5" s="24" t="str">
        <f t="shared" ref="GR5:GR11" si="37">IF(GQ5="","",GP5)</f>
        <v>2C-Check</v>
      </c>
      <c r="GS5" s="14">
        <f t="shared" ref="GS5:GS13" si="38">IF(GS4="","",IF(ROUND($DI$6,0)+GS4&gt;$FW$23,"",GS4+$DI$6))</f>
        <v>36</v>
      </c>
      <c r="GU5" s="263">
        <f>IF(GS5="","",$DF$7)</f>
        <v>220400</v>
      </c>
      <c r="GV5" s="13"/>
      <c r="GW5" s="13"/>
      <c r="GX5" s="13"/>
      <c r="GY5" s="14"/>
      <c r="GZ5" s="13"/>
      <c r="HA5" s="14">
        <f>IF(HC5="","",_xlfn.RANK.EQ(HC5,$HC$4:$HC$44,1)+COUNTIF($HC$4:$HC$44,HC5)-COUNTIF($HC$4:HC5,HC5))</f>
        <v>2</v>
      </c>
      <c r="HB5" s="24">
        <f t="shared" ref="HB5:HB43" si="39">IF(HB4="","",IF(HB4+1&lt;=COUNT($GQ$4:$GQ$44),HB4+1,""))</f>
        <v>2</v>
      </c>
      <c r="HC5" s="14">
        <f t="shared" si="0"/>
        <v>36</v>
      </c>
      <c r="HD5" s="24" t="str">
        <f t="shared" ref="HD5:HD44" si="40">IF(HE5="","",IF(OR(RIGHT(HE5,5)="Check",HE5="6Y SI",HE5="12Y SI",HE5="12Y SC"),"Airframe",IF(HE5="Overhaul","Gear",IF(HE5="SV","APU","Engine"))))</f>
        <v>Airframe</v>
      </c>
      <c r="HE5" s="13" t="str">
        <f t="shared" si="1"/>
        <v>2C-Check</v>
      </c>
      <c r="HF5" s="13" t="str">
        <f t="shared" si="2"/>
        <v>2       Airframe  2C-Check</v>
      </c>
      <c r="HG5" s="13"/>
      <c r="HH5" s="24" t="str">
        <f t="shared" si="3"/>
        <v/>
      </c>
      <c r="HI5" s="66">
        <f t="shared" si="4"/>
        <v>220400</v>
      </c>
      <c r="HJ5" s="82" t="str">
        <f t="shared" si="5"/>
        <v/>
      </c>
      <c r="HK5" s="66" t="str">
        <f t="shared" si="6"/>
        <v/>
      </c>
      <c r="HL5" s="66" t="str">
        <f t="shared" si="7"/>
        <v/>
      </c>
      <c r="HM5" s="66" t="str">
        <f t="shared" si="8"/>
        <v/>
      </c>
      <c r="HN5" s="24">
        <f>IF(HO5="","",HN4+1)</f>
        <v>2</v>
      </c>
      <c r="HO5" s="14">
        <f t="shared" si="9"/>
        <v>36</v>
      </c>
      <c r="HP5" s="24" t="str">
        <f t="shared" si="10"/>
        <v>Airframe</v>
      </c>
      <c r="HQ5" s="24" t="str">
        <f t="shared" si="11"/>
        <v>2C-Check</v>
      </c>
      <c r="HR5" s="13" t="str">
        <f t="shared" ref="HR5:HR14" si="41">IF(HN5="","",HN5&amp;"       "&amp;HP5&amp;"  "&amp;HQ5)</f>
        <v>2       Airframe  2C-Check</v>
      </c>
      <c r="HT5" s="13" t="str">
        <f t="shared" si="12"/>
        <v/>
      </c>
      <c r="HU5" s="75">
        <f t="shared" si="13"/>
        <v>220400</v>
      </c>
      <c r="HV5" s="75" t="str">
        <f t="shared" ref="HV5:HV41" si="42">VLOOKUP(HB5,$HA$4:$HM$43,10,FALSE)</f>
        <v/>
      </c>
      <c r="HW5" s="75" t="str">
        <f t="shared" si="14"/>
        <v/>
      </c>
      <c r="HX5" s="75" t="str">
        <f t="shared" si="15"/>
        <v/>
      </c>
      <c r="HY5" s="66" t="str">
        <f t="shared" si="16"/>
        <v/>
      </c>
      <c r="HZ5" s="151" t="str">
        <f t="shared" si="17"/>
        <v>Airframe</v>
      </c>
      <c r="IA5" s="151" t="str">
        <f t="shared" si="18"/>
        <v>2       Airframe  2C-Check</v>
      </c>
      <c r="IB5" s="151"/>
      <c r="IC5" s="149">
        <f t="shared" si="19"/>
        <v>36</v>
      </c>
      <c r="ID5" s="151" t="str">
        <f t="shared" si="20"/>
        <v/>
      </c>
      <c r="IE5" s="33">
        <f t="shared" si="21"/>
        <v>220400</v>
      </c>
      <c r="IF5" s="33" t="str">
        <f t="shared" si="22"/>
        <v/>
      </c>
      <c r="IG5" s="33" t="str">
        <f t="shared" si="23"/>
        <v/>
      </c>
      <c r="IH5" s="33" t="str">
        <f t="shared" si="24"/>
        <v/>
      </c>
      <c r="II5" s="33" t="str">
        <f t="shared" si="25"/>
        <v/>
      </c>
    </row>
    <row r="6" spans="1:251" x14ac:dyDescent="0.2">
      <c r="B6" s="458"/>
      <c r="H6" s="52"/>
      <c r="I6" s="52"/>
      <c r="J6" s="248"/>
      <c r="K6" s="247" t="s">
        <v>351</v>
      </c>
      <c r="L6" s="248"/>
      <c r="M6" s="252" t="s">
        <v>271</v>
      </c>
      <c r="N6" s="252"/>
      <c r="O6" s="252" t="s">
        <v>272</v>
      </c>
      <c r="P6" s="250"/>
      <c r="Q6" s="252" t="s">
        <v>273</v>
      </c>
      <c r="R6" s="248"/>
      <c r="S6" s="252" t="s">
        <v>274</v>
      </c>
      <c r="T6" s="52"/>
      <c r="U6" s="252" t="s">
        <v>489</v>
      </c>
      <c r="V6" s="52"/>
      <c r="W6" s="52"/>
      <c r="X6" s="55" t="s">
        <v>491</v>
      </c>
      <c r="Y6" s="225"/>
      <c r="AB6" s="23">
        <v>2000</v>
      </c>
      <c r="AC6" s="136">
        <v>1</v>
      </c>
      <c r="AD6" s="137">
        <f>IF($FY$7="True",SOURCE!BL5,SOURCE!BP5)</f>
        <v>1.6419999999999999</v>
      </c>
      <c r="AE6" s="137">
        <f>IF($FY$7="True",SOURCE!BM5,SOURCE!BQ5)</f>
        <v>0.97</v>
      </c>
      <c r="AF6" s="137">
        <f>IF($FY$7="True",SOURCE!BN5,SOURCE!BR5)</f>
        <v>1.7</v>
      </c>
      <c r="AG6" s="137">
        <f>IF($FY$7="True",SOURCE!BO5,SOURCE!BS5)</f>
        <v>0.97</v>
      </c>
      <c r="AH6" s="138">
        <f t="shared" ref="AH6:AH14" si="43">$AH$16*AE6</f>
        <v>2279500</v>
      </c>
      <c r="AI6" s="136">
        <f>$AI$16*AD6</f>
        <v>154.34799999999998</v>
      </c>
      <c r="AJ6" s="138">
        <f>AK6/AC6</f>
        <v>14768.574908647992</v>
      </c>
      <c r="AK6" s="138">
        <f>AH6/AI6</f>
        <v>14768.574908647992</v>
      </c>
      <c r="AL6" s="138">
        <f>IF($AQ$3="",AR6,AV6)</f>
        <v>2393475</v>
      </c>
      <c r="AM6" s="355">
        <f t="shared" ref="AM6:AO6" si="44">IF($AQ$3="",AS6,AW6)</f>
        <v>262.171875</v>
      </c>
      <c r="AN6" s="138">
        <f t="shared" si="44"/>
        <v>9129.4117647058829</v>
      </c>
      <c r="AO6" s="138">
        <f t="shared" si="44"/>
        <v>9129.4117647058829</v>
      </c>
      <c r="AP6" s="151"/>
      <c r="AQ6" s="136">
        <f>AC6</f>
        <v>1</v>
      </c>
      <c r="AR6" s="138">
        <f t="shared" ref="AR6:AR14" si="45">$AR$16*$AG6</f>
        <v>2393475</v>
      </c>
      <c r="AS6" s="136">
        <f t="shared" ref="AS6:AS14" si="46">$AS$16*$AF6</f>
        <v>262.171875</v>
      </c>
      <c r="AT6" s="138">
        <f t="shared" ref="AT6:AT14" si="47">AU6/$AC6</f>
        <v>9129.4117647058829</v>
      </c>
      <c r="AU6" s="138">
        <f t="shared" ref="AU6:AU15" si="48">AR6/AS6</f>
        <v>9129.4117647058829</v>
      </c>
      <c r="AV6" s="33">
        <f t="shared" ref="AV6:AV46" si="49">AR6*$FY$6</f>
        <v>2393475</v>
      </c>
      <c r="AW6" s="136">
        <f t="shared" ref="AW6:AW14" si="50">$AW$16*$AF6</f>
        <v>262.171875</v>
      </c>
      <c r="AX6" s="138">
        <f t="shared" ref="AX6:AX14" si="51">AX7</f>
        <v>8000</v>
      </c>
      <c r="AY6" s="138">
        <f t="shared" ref="AY6:AY14" si="52">AX6*AQ6</f>
        <v>8000</v>
      </c>
      <c r="AZ6" s="7"/>
      <c r="BA6" s="24">
        <f>IF(OR(BB6="",BA5=""),"",1)</f>
        <v>1</v>
      </c>
      <c r="BB6" s="66">
        <f>IF(VLOOKUP($FW$29,SOURCE!$AH$5:$AJ$50,3,FALSE)="CFM56-5B",SOURCE!BB5,SOURCE!BG5)</f>
        <v>30000</v>
      </c>
      <c r="BC6" s="66">
        <f>IF(VLOOKUP($FW$29,SOURCE!$AH$5:$AJ$50,3,FALSE)="CFM56-5B",SOURCE!BC5,SOURCE!BH5)</f>
        <v>263600</v>
      </c>
      <c r="BD6" s="31">
        <f>IF(BA6="","",ROUND(BC6/BB6,2))</f>
        <v>8.7899999999999991</v>
      </c>
      <c r="BE6" s="66">
        <f>VLOOKUP(O7,$AC$6:$AO$47,8,FALSE)</f>
        <v>12500</v>
      </c>
      <c r="BF6" s="66">
        <f>VLOOKUP(O7,$AC$6:$AO$47,9,FALSE)</f>
        <v>25000</v>
      </c>
      <c r="BG6" s="66" t="str">
        <f>IF(BA6="","",IF(ROUND($BJ$6,0)&gt;ROUND(BB6-$BE$6,0),BC6,""))</f>
        <v/>
      </c>
      <c r="BH6" s="66" t="str">
        <f>IF(OR(BA6="",BG6=""),"",BD6*(BB6-$BE$6))</f>
        <v/>
      </c>
      <c r="BI6" s="66">
        <f>IF(BA6="","",IF(BG6="",BB6-$BE$6,BB6))</f>
        <v>17500</v>
      </c>
      <c r="BJ6" s="66">
        <f>VLOOKUP(O7,$AC$6:$AO$47,12,FALSE)</f>
        <v>8000</v>
      </c>
      <c r="BK6" s="66">
        <f>VLOOKUP(O7,$AC$6:$AO$47,13,FALSE)</f>
        <v>16000</v>
      </c>
      <c r="BL6" s="66" t="str">
        <f>IF($BA6="","",IF(ROUND($BJ$6,0)&gt;ROUND(BI6-$BJ$6,0),$BC6,""))</f>
        <v/>
      </c>
      <c r="BM6" s="66" t="str">
        <f>IF(OR(BA6="",BL6=""),"",(BD6*(BI6-$BJ$6)))</f>
        <v/>
      </c>
      <c r="BN6" s="66">
        <f>IF(BA6="","",IF(BL6="",BI6-$BJ$6,BB6))</f>
        <v>9500</v>
      </c>
      <c r="BO6" s="66">
        <f>IF($BA6="","",IF(ROUND($BJ$6,0)&gt;ROUND(BN6-$BJ$6,0),$BC6,""))</f>
        <v>263600</v>
      </c>
      <c r="BP6" s="66">
        <f t="shared" ref="BP6:BP30" si="53">IF(OR(BA6="",BO6=""),"",(BC6/BB6)*(BN6-$BJ$6))</f>
        <v>13180</v>
      </c>
      <c r="BQ6" s="66">
        <f>IF(BA6="","",IF(BO6="",BN6-$BJ$6,$BB6))</f>
        <v>30000</v>
      </c>
      <c r="BR6" s="66" t="str">
        <f>IF($BA6="","",IF(ROUND($BJ$6,0)&gt;ROUND(BQ6-$BJ$6,0),$BC6,""))</f>
        <v/>
      </c>
      <c r="BS6" s="66" t="str">
        <f>IF(OR(BA6="",BR6=""),"",(BC6/BB6)*(BQ6-$BJ$6))</f>
        <v/>
      </c>
      <c r="BT6" s="66">
        <f t="shared" ref="BT6:BT30" si="54">IF(BA6="","",IF(BR6="",BQ6-$BJ$6,$BB6))</f>
        <v>22000</v>
      </c>
      <c r="BU6" s="66" t="str">
        <f>IF($BA6="","",IF(ROUND($BJ$6,0)&gt;ROUND(BT6-$BJ$6,0),$BC6,""))</f>
        <v/>
      </c>
      <c r="BV6" s="66" t="str">
        <f>IF(OR(BA6="",BU6=""),"",(BC6/BB6)*(BT6-$BJ$6))</f>
        <v/>
      </c>
      <c r="BW6" s="66">
        <f t="shared" ref="BW6:BW30" si="55">IF(BA6="","",IF(BU6="",BT6-$BJ$6,$BB6))</f>
        <v>14000</v>
      </c>
      <c r="BX6" s="66">
        <f>IF($BA6="","",IF(ROUND($BJ$6,0)&gt;ROUND(BW6-$BJ$6,0),$BC6,""))</f>
        <v>263600</v>
      </c>
      <c r="BY6" s="66">
        <f t="shared" ref="BY6:BY30" si="56">IF(OR(BA6="",BX6=""),"",(BC6/BB6)*(BW6-$BJ$6))</f>
        <v>52720</v>
      </c>
      <c r="BZ6" s="66">
        <f t="shared" ref="BZ6:BZ30" si="57">IF(BA6="","",IF(BX6="",BW6-$BJ$6,$BB6))</f>
        <v>30000</v>
      </c>
      <c r="CA6" s="66" t="str">
        <f>IF($BA6="","",IF(ROUND($BJ$6,0)&gt;ROUND(BZ6-$BJ$6,0),$BC6,""))</f>
        <v/>
      </c>
      <c r="CB6" s="66" t="str">
        <f t="shared" ref="CB6:CB30" si="58">IF(OR(BA6="",CA6=""),"",(BC6/BB6)*(BZ6-$BJ$6))</f>
        <v/>
      </c>
      <c r="CC6" s="66">
        <f t="shared" ref="CC6:CC30" si="59">IF(BA6="","",IF(CA6="",BZ6-$BJ$6,$BB6))</f>
        <v>22000</v>
      </c>
      <c r="CD6" s="66" t="str">
        <f>IF($BA6="","",IF(ROUND($BJ$6,0)&gt;ROUND(CC6-$BJ$6,0),$BC6,""))</f>
        <v/>
      </c>
      <c r="CE6" s="66" t="str">
        <f t="shared" ref="CE6:CE30" si="60">IF(OR(BA6="",CD6=""),"",(BC6/BB6)*(CC6-$BJ$6))</f>
        <v/>
      </c>
      <c r="CF6" s="66">
        <f t="shared" ref="CF6:CF30" si="61">IF(BA6="","",IF(CD6="",CC6-$BJ$6,$BB6))</f>
        <v>14000</v>
      </c>
      <c r="CG6" s="66">
        <f>IF($BA6="","",IF(ROUND($BJ$6,0)&gt;ROUND(CF6-$BJ$6,0),$BC6,""))</f>
        <v>263600</v>
      </c>
      <c r="CH6" s="66">
        <f t="shared" ref="CH6:CH30" si="62">IF(OR(BA6="",CG6=""),"",(BC6/BB6)*(CF6-$BJ$6))</f>
        <v>52720</v>
      </c>
      <c r="CI6" s="66">
        <f t="shared" ref="CI6:CI30" si="63">IF(BA6="","",IF(CG6="",CF6-$BJ$6,$BB6))</f>
        <v>30000</v>
      </c>
      <c r="CJ6" s="66" t="str">
        <f>IF($BA6="","",IF(ROUND($BJ$6,0)&gt;ROUND(CI6-$BJ$6,0),$BC6,""))</f>
        <v/>
      </c>
      <c r="CK6" s="66" t="str">
        <f>IF(OR($BA6="",CJ6=""),"",($BC6/$BB6)*(CI6-$BJ$6))</f>
        <v/>
      </c>
      <c r="CL6" s="66">
        <f t="shared" ref="CL6:CL30" si="64">IF(BA6="","",IF(CJ6="",CI6-$BJ$6,$BB6))</f>
        <v>22000</v>
      </c>
      <c r="CM6" s="66" t="str">
        <f>IF($BA6="","",IF(ROUND($BJ$6,0)&gt;ROUND(CL6-$BJ$6,0),$BC6,""))</f>
        <v/>
      </c>
      <c r="CN6" s="66" t="str">
        <f>IF(OR($BA6="",CM6=""),"",($BC6/$BB6)*(CL6-$BJ$6))</f>
        <v/>
      </c>
      <c r="CO6" s="66">
        <f>IF($BD6="","",IF(CM6="",CL6-$BJ$6,$BB6))</f>
        <v>14000</v>
      </c>
      <c r="CP6" s="66">
        <f>IF($BA6="","",IF(ROUND($BJ$6,0)&gt;ROUND(CO6-$BJ$6,0),$BC6,""))</f>
        <v>263600</v>
      </c>
      <c r="CQ6" s="66">
        <f>IF(OR($BA6="",CP6=""),"",($BC6/$BB6)*(CO6-$BJ$6))</f>
        <v>52720</v>
      </c>
      <c r="CR6" s="66">
        <f>IF($BD6="","",IF(CP6="",CO6-$BJ$6,$BB6))</f>
        <v>30000</v>
      </c>
      <c r="CS6" s="66" t="str">
        <f>IF($BA6="","",IF(ROUND($BJ$6,0)&gt;ROUND(CR6-$BJ$6,0),$BC6,""))</f>
        <v/>
      </c>
      <c r="CT6" s="66" t="str">
        <f>IF(OR($BA6="",CS6=""),"",($BC6/$BB6)*(CR6-$BJ$6))</f>
        <v/>
      </c>
      <c r="CU6" s="66">
        <f>IF($BD6="","",IF(CS6="",CR6-$BJ$6,$BB6))</f>
        <v>22000</v>
      </c>
      <c r="CV6" s="66" t="str">
        <f>IF($BA6="","",IF(ROUND($BJ$6,0)&gt;ROUND(CU6-$BJ$6,0),$BC6,""))</f>
        <v/>
      </c>
      <c r="CW6" s="66" t="str">
        <f>IF(OR($BA6="",CV6=""),"",($BC6/$BB6)*(CU6-$BJ$6))</f>
        <v/>
      </c>
      <c r="CX6" s="66">
        <f>IF($BD6="","",IF(CV6="",CU6-$BJ$6,$BB6))</f>
        <v>14000</v>
      </c>
      <c r="CY6" s="66">
        <f>IF($BA6="","",IF(ROUND($BJ$6,0)&gt;ROUND(CX6-$BJ$6,0),$BC6,""))</f>
        <v>263600</v>
      </c>
      <c r="CZ6" s="66">
        <f>IF(OR($BA6="",CY6=""),"",($BC6/$BB6)*(CX6-$BJ$6))</f>
        <v>52720</v>
      </c>
      <c r="DA6" s="66">
        <f>IF($BD6="","",IF(CY6="",CX6-$BJ$6,$BB6))</f>
        <v>30000</v>
      </c>
      <c r="DB6" s="9"/>
      <c r="DC6" s="13" t="s">
        <v>68</v>
      </c>
      <c r="DD6" s="13"/>
      <c r="DE6" s="13" t="s">
        <v>456</v>
      </c>
      <c r="DF6" s="66">
        <f>VLOOKUP($FU$29&amp;DE6,SOURCE!$D$5:$O$38,5,FALSE)</f>
        <v>185400</v>
      </c>
      <c r="DG6" s="13"/>
      <c r="DH6" s="13"/>
      <c r="DI6" s="66">
        <f>SOURCE!E6</f>
        <v>18</v>
      </c>
      <c r="DJ6" s="66">
        <f>IF(DF6="","",DF6/DI6)</f>
        <v>10300</v>
      </c>
      <c r="DK6" s="31">
        <f>DJ6/$GA$4</f>
        <v>35.31428571428571</v>
      </c>
      <c r="DM6" s="40">
        <f>0</f>
        <v>0</v>
      </c>
      <c r="DN6" s="41">
        <f t="shared" ref="DN6:DN37" si="65">IF(DM6="","",SUM(EC6:EE6)+SUM(EQ6:ER6)+SUM(FB6:FC6))</f>
        <v>12272520</v>
      </c>
      <c r="DO6" s="42">
        <v>0</v>
      </c>
      <c r="DP6" s="42">
        <f t="shared" ref="DP6:DP37" si="66">IF(DM6="","",IF(ISNA(VLOOKUP(DM6,$GS$4:$GU$13,3,FALSE)),0,VLOOKUP(DM6,$GS$4:$GU$13,3,FALSE)))</f>
        <v>0</v>
      </c>
      <c r="DQ6" s="42">
        <f t="shared" ref="DQ6:DQ37" si="67">IF(DM6="","",IF(ISNA(VLOOKUP(DM6,$GS$14:$GU$15,3,FALSE)),0,VLOOKUP(DM6,$GS$14:$GU$15,3,FALSE)))</f>
        <v>0</v>
      </c>
      <c r="DR6" s="42">
        <f t="shared" ref="DR6:DR37" si="68">IF(DM6="","",IF(ISNA(VLOOKUP(DM6,$GS$16:$GU$16,3,FALSE)),0,VLOOKUP(DM6,$GS$16:$GU$16,3,FALSE)))</f>
        <v>0</v>
      </c>
      <c r="DS6" s="42">
        <f t="shared" ref="DS6:DS37" si="69">IF(DM6="","",IF(ISNA(VLOOKUP(DM6,$GS$17:$GU$19,3,FALSE)),0,VLOOKUP(DM6,$GS$17:$GU$19,3,FALSE)))</f>
        <v>0</v>
      </c>
      <c r="DT6" s="42">
        <f t="shared" ref="DT6:DT37" si="70">IF(DM6="","",IF(ISNA(VLOOKUP(DM6,$GS$20:$GU$28,3,FALSE)),0,VLOOKUP(DM6,$GS$20:$GU$28,3,FALSE)))</f>
        <v>0</v>
      </c>
      <c r="DU6" s="42">
        <f t="shared" ref="DU6:DU37" si="71">IF(DM6="","",IF(ISNA(VLOOKUP(DM6,$GS$30:$GW$44,3,FALSE)),0,VLOOKUP(DM6,$GS$30:$GW$44,3,FALSE)))</f>
        <v>0</v>
      </c>
      <c r="DV6" s="42">
        <f t="shared" ref="DV6:DV37" si="72">IF(DM6="","",IF(ISNA(VLOOKUP(DM6,$GS$30:$GW$44,4,FALSE)),0,VLOOKUP(DM6,$GS$30:$GW$44,4,FALSE)))</f>
        <v>0</v>
      </c>
      <c r="DW6" s="42">
        <f t="shared" ref="DW6:DW37" si="73">IF(DM6="","",IF(ISNA(VLOOKUP(DM6,$GS$30:$GW$44,5,FALSE)),0,VLOOKUP(DM6,$GS$30:$GW$44,5,FALSE)))</f>
        <v>0</v>
      </c>
      <c r="DX6" s="42">
        <f t="shared" ref="DX6:DX37" si="74">IF(DM6="","",DN6-DY6)</f>
        <v>0</v>
      </c>
      <c r="DY6" s="42">
        <f>IF(DM6="","",DN6-SUM(DP6:DV6))</f>
        <v>12272520</v>
      </c>
      <c r="DZ6" s="43">
        <f>IF(DM6="","",IF(DY6/DN6&gt;1,1,DY6/DN6))</f>
        <v>1</v>
      </c>
      <c r="EA6" s="7"/>
      <c r="EB6" s="43" t="str">
        <f>IF(DM6="","",IF(DM6&lt;=$DI$6,"True",IF(AND(DM6&gt;$DI$6,DM6&lt;=2*$DI$6),"False",IF(AND(DM6&gt;2*$DI$6,DM6&lt;=3*$DI$6),"True",IF(AND(DM6&gt;3*$DI$6,DM6&lt;=4*$DI$6),"False",IF(AND(DM6&gt;4*$DI$6,DM6&lt;=5*$DI$6),"True",IF(AND(DM6&gt;5*$DI$6,DM6&lt;=6*$DI$6),"False",IF(AND(DM6&gt;6*$DI$6,DM6&lt;=7*$DI$6),"True",IF(AND(DM6&gt;7*$DI$6,DM6&lt;=8*$DI$6),"False",IF(AND(DM6&gt;8*$DI$6,DM6&lt;=9*$DI$6),"True",IF(AND(DM6&gt;9*$DI$6,DM6&lt;=10*$DI$6),"False","True")))))))))))</f>
        <v>True</v>
      </c>
      <c r="EC6" s="41">
        <f>IF(DM6="","",IF(AND(DM6&lt;=$DI$8,EB6="True"),$DF$6,IF(AND(DM6&lt;=$DI$8,EB6="False"),$DF$7,IF(AND(DM6&gt;$DI$8,EB6="True"),$DF$17,$DF$18))))</f>
        <v>185400</v>
      </c>
      <c r="ED6" s="41">
        <f>IF(DM6="","",IF(DM6&lt;=$DI$8,$DF$8,$DF$19))</f>
        <v>606690</v>
      </c>
      <c r="EE6" s="41">
        <f t="shared" ref="EE6:EE37" si="75">IF(DM6="","",IF(DM6&lt;=$DI$9,$DF$9,$DF$20))</f>
        <v>902280</v>
      </c>
      <c r="EF6" s="42">
        <v>0</v>
      </c>
      <c r="EG6" s="42">
        <v>0</v>
      </c>
      <c r="EH6" s="42">
        <v>0</v>
      </c>
      <c r="EI6" s="42">
        <f t="shared" ref="EI6:EI37" si="76">IF(DM6="","",ROUND(EC6-EL6,0))</f>
        <v>0</v>
      </c>
      <c r="EJ6" s="42">
        <f>IF(DM6="","",ROUND(ED6-EM6,0))</f>
        <v>0</v>
      </c>
      <c r="EK6" s="42">
        <f t="shared" ref="EK6:EK37" si="77">IF(DM6="","",ROUND(EE6-EN6,0))</f>
        <v>0</v>
      </c>
      <c r="EL6" s="42">
        <f>IF(DM6="","",EC6-SUM($EF$6:EF6)+SUM($DP$6:DP6))</f>
        <v>185400</v>
      </c>
      <c r="EM6" s="42">
        <f>IF(DM6="","",ED6-SUM($EG$6:EG6)+SUM($DQ$6:DQ6))</f>
        <v>606690</v>
      </c>
      <c r="EN6" s="42">
        <f>IF(DM6="","",EE6-SUM($EH$6:EH6)+SUM($DR$6:DR6))</f>
        <v>902280</v>
      </c>
      <c r="EO6" s="152">
        <f>IF(DM6="","",SUM(EL6:EN6)/SUM(EC6:EE6))</f>
        <v>1</v>
      </c>
      <c r="EP6" s="7"/>
      <c r="EQ6" s="42">
        <f t="shared" ref="EQ6:EQ37" si="78">IF(DM6="","",$DF$10)</f>
        <v>448050</v>
      </c>
      <c r="ER6" s="42">
        <f t="shared" ref="ER6:ER37" si="79">IF(DM6="","",$DF$11)</f>
        <v>248100</v>
      </c>
      <c r="ES6" s="42">
        <v>0</v>
      </c>
      <c r="ET6" s="42">
        <v>0</v>
      </c>
      <c r="EU6" s="42">
        <f t="shared" ref="EU6:EU37" si="80">IF(DM6="","",ROUND(EQ6-EW6,0))</f>
        <v>0</v>
      </c>
      <c r="EV6" s="42">
        <f t="shared" ref="EV6:EV37" si="81">IF(DM6="","",ROUND(ER6-EX6,0))</f>
        <v>0</v>
      </c>
      <c r="EW6" s="42">
        <f>IF(DM6="","",IF(DS6&gt;0,DS6,EQ6-SUM($ES$6:ES6)+SUM($DS$6:DS6)))</f>
        <v>448050</v>
      </c>
      <c r="EX6" s="42">
        <f>IF(DM6="","",IF(DT6&gt;0,DT6,ER6-SUM($ET$6:ET6)+SUM($DT$6:DT6)))</f>
        <v>248100</v>
      </c>
      <c r="EY6" s="43">
        <f t="shared" ref="EY6:EY37" si="82">IF(DM6="","",IF(EX6/ER6&gt;1,1,EX6/ER6))</f>
        <v>1</v>
      </c>
      <c r="EZ6" s="43">
        <f t="shared" ref="EZ6:EZ37" si="83">IF(DM6="","",IF(EW6/EQ6&gt;1,1,EW6/EQ6))</f>
        <v>1</v>
      </c>
      <c r="FA6" s="7"/>
      <c r="FB6" s="42">
        <f t="shared" ref="FB6:FB37" si="84">IF(DM6="","",IF(DM6&lt;=$GS$30,2*$DF$12,2*$DF$23))</f>
        <v>4700000</v>
      </c>
      <c r="FC6" s="42">
        <f t="shared" ref="FC6:FC37" si="85">IF(DM6="","",($DF$13)*2)</f>
        <v>5182000</v>
      </c>
      <c r="FD6" s="42">
        <v>0</v>
      </c>
      <c r="FE6" s="42">
        <v>0</v>
      </c>
      <c r="FF6" s="42">
        <f t="shared" ref="FF6:FF37" si="86">IF(DM6="","",ROUND(FB6-FH6,0))</f>
        <v>0</v>
      </c>
      <c r="FG6" s="42">
        <f t="shared" ref="FG6:FG37" si="87">IF(DM6="","",ROUND(FC6-FI6,0))</f>
        <v>0</v>
      </c>
      <c r="FH6" s="42">
        <f>IF(DM6="","",IF(DU6&gt;0,DU6,FB6-SUM($FD$6:FD6)+SUM($DU$6:DU6)))</f>
        <v>4700000</v>
      </c>
      <c r="FI6" s="42">
        <f>IF(DM6="","",FC6-SUM($FE$6:FE6)+SUM($DV$6:DV6)-SUM($DW$6:DW6))</f>
        <v>5182000</v>
      </c>
      <c r="FJ6" s="152">
        <f t="shared" ref="FJ6:FJ37" si="88">IF(DM6="","",IF((FH6+FI6)/(FB6+FC6)&gt;1,1,(FH6+FI6)/(FB6+FC6)))</f>
        <v>1</v>
      </c>
      <c r="FK6" s="7"/>
      <c r="FL6" s="5" t="s">
        <v>371</v>
      </c>
      <c r="FM6" s="14" t="str">
        <f t="shared" ref="FM6:FM15" si="89">IF($FU$29="A318-100",FN6,IF($FU$29="A319-100",FO6,IF($FU$29="A320-200",FP6,FQ6)))</f>
        <v>CFM56-5B4/P</v>
      </c>
      <c r="FN6" s="14" t="s">
        <v>380</v>
      </c>
      <c r="FO6" s="14" t="s">
        <v>382</v>
      </c>
      <c r="FP6" s="14" t="s">
        <v>392</v>
      </c>
      <c r="FQ6" s="14" t="s">
        <v>396</v>
      </c>
      <c r="FR6" s="27">
        <v>1</v>
      </c>
      <c r="FS6" s="21">
        <v>0</v>
      </c>
      <c r="FT6" s="293" t="s">
        <v>2</v>
      </c>
      <c r="FU6" s="317" t="s">
        <v>367</v>
      </c>
      <c r="FV6" s="164" t="s">
        <v>1</v>
      </c>
      <c r="FW6" s="8">
        <v>60</v>
      </c>
      <c r="FX6" s="13" t="s">
        <v>187</v>
      </c>
      <c r="FY6" s="32">
        <f>FY4*FY5</f>
        <v>1</v>
      </c>
      <c r="FZ6" s="4" t="s">
        <v>53</v>
      </c>
      <c r="GA6" s="17">
        <f>IF(OR($GA$4="",$GA$5=""),"",ROUND($GA$4/$GA$5,1))</f>
        <v>2</v>
      </c>
      <c r="GB6" s="17"/>
      <c r="GC6" s="68">
        <f t="shared" si="26"/>
        <v>1</v>
      </c>
      <c r="GD6" s="78">
        <f t="shared" si="27"/>
        <v>0</v>
      </c>
      <c r="GE6" s="309">
        <f t="shared" si="28"/>
        <v>0.99001046804004145</v>
      </c>
      <c r="GF6" s="78">
        <f t="shared" si="29"/>
        <v>0</v>
      </c>
      <c r="GG6" s="310">
        <f t="shared" si="30"/>
        <v>0.98524992573444203</v>
      </c>
      <c r="GH6" s="78">
        <f t="shared" si="31"/>
        <v>0</v>
      </c>
      <c r="GI6" s="310">
        <f t="shared" si="32"/>
        <v>0.9916666666666667</v>
      </c>
      <c r="GJ6" s="311">
        <f t="shared" si="33"/>
        <v>0</v>
      </c>
      <c r="GK6" s="310">
        <f t="shared" si="34"/>
        <v>0.9753205128205128</v>
      </c>
      <c r="GL6" s="311">
        <f t="shared" si="35"/>
        <v>0</v>
      </c>
      <c r="GM6" s="310">
        <f t="shared" si="36"/>
        <v>0.99112042940025646</v>
      </c>
      <c r="GO6" s="266" t="s">
        <v>68</v>
      </c>
      <c r="GP6" s="266" t="s">
        <v>458</v>
      </c>
      <c r="GQ6" s="14">
        <f>IF(GS6="","",COUNT($GS$4:GS6))</f>
        <v>3</v>
      </c>
      <c r="GR6" s="24" t="str">
        <f t="shared" si="37"/>
        <v>3C-Check</v>
      </c>
      <c r="GS6" s="14">
        <f t="shared" si="38"/>
        <v>54</v>
      </c>
      <c r="GU6" s="263">
        <f>IF(GS6="","",$DF$6)</f>
        <v>185400</v>
      </c>
      <c r="GV6" s="13"/>
      <c r="GW6" s="13"/>
      <c r="GX6" s="13"/>
      <c r="GY6" s="14"/>
      <c r="GZ6" s="13"/>
      <c r="HA6" s="14">
        <f>IF(HC6="","",_xlfn.RANK.EQ(HC6,$HC$4:$HC$44,1)+COUNTIF($HC$4:$HC$44,HC6)-COUNTIF($HC$4:HC6,HC6))</f>
        <v>4</v>
      </c>
      <c r="HB6" s="24">
        <f t="shared" si="39"/>
        <v>3</v>
      </c>
      <c r="HC6" s="14">
        <f t="shared" si="0"/>
        <v>54</v>
      </c>
      <c r="HD6" s="24" t="str">
        <f t="shared" si="40"/>
        <v>Airframe</v>
      </c>
      <c r="HE6" s="13" t="str">
        <f t="shared" si="1"/>
        <v>3C-Check</v>
      </c>
      <c r="HF6" s="13" t="str">
        <f t="shared" si="2"/>
        <v>3       Airframe  3C-Check</v>
      </c>
      <c r="HG6" s="13"/>
      <c r="HH6" s="24" t="str">
        <f t="shared" si="3"/>
        <v/>
      </c>
      <c r="HI6" s="66">
        <f t="shared" si="4"/>
        <v>185400</v>
      </c>
      <c r="HJ6" s="82" t="str">
        <f t="shared" si="5"/>
        <v/>
      </c>
      <c r="HK6" s="66" t="str">
        <f t="shared" si="6"/>
        <v/>
      </c>
      <c r="HL6" s="66" t="str">
        <f t="shared" si="7"/>
        <v/>
      </c>
      <c r="HM6" s="66" t="str">
        <f t="shared" si="8"/>
        <v/>
      </c>
      <c r="HN6" s="24">
        <f>IF(HO6="","",HN5+1)</f>
        <v>3</v>
      </c>
      <c r="HO6" s="14">
        <f t="shared" si="9"/>
        <v>41</v>
      </c>
      <c r="HP6" s="24" t="str">
        <f t="shared" si="10"/>
        <v>APU</v>
      </c>
      <c r="HQ6" s="24" t="str">
        <f t="shared" si="11"/>
        <v>SV</v>
      </c>
      <c r="HR6" s="13" t="str">
        <f t="shared" si="41"/>
        <v>3       APU  SV</v>
      </c>
      <c r="HT6" s="13" t="str">
        <f t="shared" si="12"/>
        <v/>
      </c>
      <c r="HU6" s="75">
        <f t="shared" si="13"/>
        <v>248100</v>
      </c>
      <c r="HV6" s="75" t="str">
        <f t="shared" si="42"/>
        <v/>
      </c>
      <c r="HW6" s="75" t="str">
        <f t="shared" si="14"/>
        <v/>
      </c>
      <c r="HX6" s="75" t="str">
        <f t="shared" si="15"/>
        <v/>
      </c>
      <c r="HY6" s="66" t="str">
        <f t="shared" si="16"/>
        <v/>
      </c>
      <c r="HZ6" s="151" t="str">
        <f t="shared" si="17"/>
        <v>Airframe</v>
      </c>
      <c r="IA6" s="151" t="str">
        <f t="shared" si="18"/>
        <v>3       Airframe  3C-Check</v>
      </c>
      <c r="IB6" s="151"/>
      <c r="IC6" s="149">
        <f t="shared" si="19"/>
        <v>54</v>
      </c>
      <c r="ID6" s="151" t="str">
        <f t="shared" si="20"/>
        <v/>
      </c>
      <c r="IE6" s="33">
        <f t="shared" si="21"/>
        <v>185400</v>
      </c>
      <c r="IF6" s="33" t="str">
        <f t="shared" si="22"/>
        <v/>
      </c>
      <c r="IG6" s="33" t="str">
        <f t="shared" si="23"/>
        <v/>
      </c>
      <c r="IH6" s="33" t="str">
        <f t="shared" si="24"/>
        <v/>
      </c>
      <c r="II6" s="33" t="str">
        <f t="shared" si="25"/>
        <v/>
      </c>
    </row>
    <row r="7" spans="1:251" x14ac:dyDescent="0.2">
      <c r="B7" s="458"/>
      <c r="H7" s="52"/>
      <c r="I7" s="52"/>
      <c r="J7" s="248"/>
      <c r="K7" s="294">
        <v>41275</v>
      </c>
      <c r="L7" s="248"/>
      <c r="M7" s="296">
        <v>3500</v>
      </c>
      <c r="N7" s="249"/>
      <c r="O7" s="298">
        <v>2</v>
      </c>
      <c r="P7" s="248"/>
      <c r="Q7" s="299">
        <v>0.1</v>
      </c>
      <c r="R7" s="248"/>
      <c r="S7" s="297" t="s">
        <v>1</v>
      </c>
      <c r="T7" s="52"/>
      <c r="U7" s="296" t="s">
        <v>368</v>
      </c>
      <c r="V7" s="52"/>
      <c r="W7" s="52"/>
      <c r="X7" s="56" t="s">
        <v>492</v>
      </c>
      <c r="Y7" s="225"/>
      <c r="AB7" s="23">
        <f>AB6+500</f>
        <v>2500</v>
      </c>
      <c r="AC7" s="20">
        <v>1.1000000000000001</v>
      </c>
      <c r="AD7" s="18">
        <f>(AD6-($AD$6-$AD$11)/5)</f>
        <v>1.5466</v>
      </c>
      <c r="AE7" s="18">
        <f>AE6-($AE$6-$AE$11)/5</f>
        <v>0.97199999999999998</v>
      </c>
      <c r="AF7" s="18">
        <f>AF6-($AF$6-$AF$11)/5</f>
        <v>1.6099999999999999</v>
      </c>
      <c r="AG7" s="18">
        <f>AG6-($AG$6-$AG$11)/5</f>
        <v>0.97199999999999998</v>
      </c>
      <c r="AH7" s="50">
        <f t="shared" si="43"/>
        <v>2284200</v>
      </c>
      <c r="AI7" s="51">
        <f t="shared" ref="AI7:AI14" si="90">$AI$16*AD7</f>
        <v>145.38040000000001</v>
      </c>
      <c r="AJ7" s="50">
        <f t="shared" ref="AJ7:AJ46" si="91">AK7/AC7</f>
        <v>14283.531029942511</v>
      </c>
      <c r="AK7" s="50">
        <f t="shared" ref="AK7:AK46" si="92">AH7/AI7</f>
        <v>15711.884132936764</v>
      </c>
      <c r="AL7" s="348">
        <f>IF($AQ$3="",AR7,AV7)</f>
        <v>2398410</v>
      </c>
      <c r="AM7" s="354">
        <f t="shared" ref="AM7:AM36" si="93">IF($AQ$3="",AS7,AW7)</f>
        <v>248.29218749999998</v>
      </c>
      <c r="AN7" s="348">
        <f t="shared" ref="AN7:AN36" si="94">IF($AQ$3="",AT7,AX7)</f>
        <v>8781.4793901750436</v>
      </c>
      <c r="AO7" s="348">
        <f t="shared" ref="AO7:AO36" si="95">IF($AQ$3="",AU7,AY7)</f>
        <v>9659.6273291925481</v>
      </c>
      <c r="AP7" s="7"/>
      <c r="AQ7" s="349">
        <f t="shared" ref="AQ7:AQ36" si="96">AC7</f>
        <v>1.1000000000000001</v>
      </c>
      <c r="AR7" s="50">
        <f t="shared" si="45"/>
        <v>2398410</v>
      </c>
      <c r="AS7" s="51">
        <f t="shared" si="46"/>
        <v>248.29218749999998</v>
      </c>
      <c r="AT7" s="348">
        <f t="shared" si="47"/>
        <v>8781.4793901750436</v>
      </c>
      <c r="AU7" s="348">
        <f t="shared" si="48"/>
        <v>9659.6273291925481</v>
      </c>
      <c r="AV7" s="350">
        <f t="shared" si="49"/>
        <v>2398410</v>
      </c>
      <c r="AW7" s="349">
        <f t="shared" si="50"/>
        <v>248.29218749999998</v>
      </c>
      <c r="AX7" s="348">
        <f t="shared" si="51"/>
        <v>8000</v>
      </c>
      <c r="AY7" s="348">
        <f t="shared" si="52"/>
        <v>8800</v>
      </c>
      <c r="AZ7" s="7"/>
      <c r="BA7" s="24">
        <f>IF(OR(BB7="",BA6=""),"",BA6+1)</f>
        <v>2</v>
      </c>
      <c r="BB7" s="66">
        <f>IF(VLOOKUP($FW$29,SOURCE!$AH$5:$AJ$50,3,FALSE)="CFM56-5B",SOURCE!BB6,SOURCE!BG6)</f>
        <v>30000</v>
      </c>
      <c r="BC7" s="66">
        <f>IF(VLOOKUP($FW$29,SOURCE!$AH$5:$AJ$50,3,FALSE)="CFM56-5B",SOURCE!BC6,SOURCE!BH6)</f>
        <v>180900</v>
      </c>
      <c r="BD7" s="31">
        <f t="shared" ref="BD7:BD30" si="97">IF(BA7="","",ROUND(BC7/BB7,2))</f>
        <v>6.03</v>
      </c>
      <c r="BE7" s="13"/>
      <c r="BF7" s="13"/>
      <c r="BG7" s="66" t="str">
        <f t="shared" ref="BG7:BG30" si="98">IF(BA7="","",IF(ROUND($BJ$6,0)&gt;ROUND(BB7-$BE$6,0),BC7,""))</f>
        <v/>
      </c>
      <c r="BH7" s="66" t="str">
        <f t="shared" ref="BH7:BH30" si="99">IF(OR(BA7="",BG7=""),"",BD7*(BB7-$BE$6))</f>
        <v/>
      </c>
      <c r="BI7" s="66">
        <f>IF(BA7="","",IF(BG7="",BB7-$BE$6,BB7))</f>
        <v>17500</v>
      </c>
      <c r="BJ7" s="13"/>
      <c r="BK7" s="13"/>
      <c r="BL7" s="66" t="str">
        <f t="shared" ref="BL7:BL30" si="100">IF($BA7="","",IF(ROUND($BJ$6,0)&gt;ROUND(BI7-$BJ$6,0),$BC7,""))</f>
        <v/>
      </c>
      <c r="BM7" s="66" t="str">
        <f t="shared" ref="BM7:BM30" si="101">IF(OR(BA7="",BL7=""),"",(BD7*(BI7-$BJ$6)))</f>
        <v/>
      </c>
      <c r="BN7" s="66">
        <f t="shared" ref="BN7:BN30" si="102">IF(BA7="","",IF(BL7="",BI7-$BJ$6,BB7))</f>
        <v>9500</v>
      </c>
      <c r="BO7" s="66">
        <f t="shared" ref="BO7:BO30" si="103">IF($BA7="","",IF(ROUND($BJ$6,0)&gt;ROUND($BN7-$BJ$6,0),$BC7,""))</f>
        <v>180900</v>
      </c>
      <c r="BP7" s="66">
        <f t="shared" si="53"/>
        <v>9045</v>
      </c>
      <c r="BQ7" s="66">
        <f t="shared" ref="BQ7:BQ30" si="104">IF(BA7="","",IF(BO7="",BN7-$BJ$6,$BB7))</f>
        <v>30000</v>
      </c>
      <c r="BR7" s="66" t="str">
        <f t="shared" ref="BR7:BR30" si="105">IF($BA7="","",IF(ROUND($BJ$6,0)&gt;ROUND(BQ7-$BJ$6,0),$BC7,""))</f>
        <v/>
      </c>
      <c r="BS7" s="66" t="str">
        <f t="shared" ref="BS7:BS30" si="106">IF(OR(BA7="",BR7=""),"",(BC7/BB7)*(BQ7-$BJ$6))</f>
        <v/>
      </c>
      <c r="BT7" s="66">
        <f t="shared" si="54"/>
        <v>22000</v>
      </c>
      <c r="BU7" s="66" t="str">
        <f t="shared" ref="BU7:BU30" si="107">IF($BA7="","",IF(ROUND($BJ$6,0)&gt;ROUND(BT7-$BJ$6,0),$BC7,""))</f>
        <v/>
      </c>
      <c r="BV7" s="66" t="str">
        <f t="shared" ref="BV7:BV30" si="108">IF(OR(BA7="",BU7=""),"",(BC7/BB7)*(BT7-$BJ$6))</f>
        <v/>
      </c>
      <c r="BW7" s="66">
        <f t="shared" si="55"/>
        <v>14000</v>
      </c>
      <c r="BX7" s="66">
        <f t="shared" ref="BX7:BX30" si="109">IF($BA7="","",IF(ROUND($BJ$6,0)&gt;ROUND(BW7-$BJ$6,0),$BC7,""))</f>
        <v>180900</v>
      </c>
      <c r="BY7" s="66">
        <f t="shared" si="56"/>
        <v>36180</v>
      </c>
      <c r="BZ7" s="66">
        <f t="shared" si="57"/>
        <v>30000</v>
      </c>
      <c r="CA7" s="66" t="str">
        <f t="shared" ref="CA7:CA30" si="110">IF($BA7="","",IF(ROUND($BJ$6,0)&gt;ROUND(BZ7-$BJ$6,0),$BC7,""))</f>
        <v/>
      </c>
      <c r="CB7" s="66" t="str">
        <f t="shared" si="58"/>
        <v/>
      </c>
      <c r="CC7" s="66">
        <f t="shared" si="59"/>
        <v>22000</v>
      </c>
      <c r="CD7" s="66" t="str">
        <f>IF($BA7="","",IF(ROUND($BJ$6,0)&gt;ROUND(CC7-$BJ$6,0),$BC7,""))</f>
        <v/>
      </c>
      <c r="CE7" s="66" t="str">
        <f t="shared" si="60"/>
        <v/>
      </c>
      <c r="CF7" s="66">
        <f t="shared" si="61"/>
        <v>14000</v>
      </c>
      <c r="CG7" s="66">
        <f t="shared" ref="CG7:CG30" si="111">IF($BA7="","",IF(ROUND($BJ$6,0)&gt;ROUND(CF7-$BJ$6,0),$BC7,""))</f>
        <v>180900</v>
      </c>
      <c r="CH7" s="66">
        <f t="shared" si="62"/>
        <v>36180</v>
      </c>
      <c r="CI7" s="66">
        <f t="shared" si="63"/>
        <v>30000</v>
      </c>
      <c r="CJ7" s="66" t="str">
        <f t="shared" ref="CJ7:CJ30" si="112">IF($BA7="","",IF(ROUND($BJ$6,0)&gt;ROUND(CI7-$BJ$6,0),$BC7,""))</f>
        <v/>
      </c>
      <c r="CK7" s="66" t="str">
        <f t="shared" ref="CK7:CK30" si="113">IF(OR(BA7="",CJ7=""),"",(BC7/BB7)*(CI7-$BJ$6))</f>
        <v/>
      </c>
      <c r="CL7" s="66">
        <f t="shared" si="64"/>
        <v>22000</v>
      </c>
      <c r="CM7" s="66" t="str">
        <f t="shared" ref="CM7:CM30" si="114">IF($BA7="","",IF(ROUND($BJ$6,0)&gt;ROUND(CL7-$BJ$6,0),$BC7,""))</f>
        <v/>
      </c>
      <c r="CN7" s="66" t="str">
        <f t="shared" ref="CN7:CN30" si="115">IF(OR($BA7="",CM7=""),"",($BC7/$BB7)*(CL7-$BJ$6))</f>
        <v/>
      </c>
      <c r="CO7" s="66">
        <f t="shared" ref="CO7:CO30" si="116">IF(BD7="","",IF(CM7="",CL7-$BJ$6,$BB7))</f>
        <v>14000</v>
      </c>
      <c r="CP7" s="66">
        <f t="shared" ref="CP7:CP30" si="117">IF($BA7="","",IF(ROUND($BJ$6,0)&gt;ROUND(CO7-$BJ$6,0),$BC7,""))</f>
        <v>180900</v>
      </c>
      <c r="CQ7" s="66">
        <f t="shared" ref="CQ7:CQ30" si="118">IF(OR($BA7="",CP7=""),"",($BC7/$BB7)*(CO7-$BJ$6))</f>
        <v>36180</v>
      </c>
      <c r="CR7" s="66">
        <f t="shared" ref="CR7:CR30" si="119">IF($BD7="","",IF(CP7="",CO7-$BJ$6,$BB7))</f>
        <v>30000</v>
      </c>
      <c r="CS7" s="66" t="str">
        <f t="shared" ref="CS7:CS30" si="120">IF($BA7="","",IF(ROUND($BJ$6,0)&gt;ROUND(CR7-$BJ$6,0),$BC7,""))</f>
        <v/>
      </c>
      <c r="CT7" s="66" t="str">
        <f t="shared" ref="CT7:CT30" si="121">IF(OR($BA7="",CS7=""),"",($BC7/$BB7)*(CR7-$BJ$6))</f>
        <v/>
      </c>
      <c r="CU7" s="66">
        <f t="shared" ref="CU7:CU30" si="122">IF($BD7="","",IF(CS7="",CR7-$BJ$6,$BB7))</f>
        <v>22000</v>
      </c>
      <c r="CV7" s="66" t="str">
        <f t="shared" ref="CV7:CV30" si="123">IF($BA7="","",IF(ROUND($BJ$6,0)&gt;ROUND(CU7-$BJ$6,0),$BC7,""))</f>
        <v/>
      </c>
      <c r="CW7" s="66" t="str">
        <f t="shared" ref="CW7:CW30" si="124">IF(OR($BA7="",CV7=""),"",($BC7/$BB7)*(CU7-$BJ$6))</f>
        <v/>
      </c>
      <c r="CX7" s="66">
        <f t="shared" ref="CX7:CX30" si="125">IF($BD7="","",IF(CV7="",CU7-$BJ$6,$BB7))</f>
        <v>14000</v>
      </c>
      <c r="CY7" s="66">
        <f t="shared" ref="CY7:CY30" si="126">IF($BA7="","",IF(ROUND($BJ$6,0)&gt;ROUND(CX7-$BJ$6,0),$BC7,""))</f>
        <v>180900</v>
      </c>
      <c r="CZ7" s="66">
        <f t="shared" ref="CZ7:CZ30" si="127">IF(OR($BA7="",CY7=""),"",($BC7/$BB7)*(CX7-$BJ$6))</f>
        <v>36180</v>
      </c>
      <c r="DA7" s="66">
        <f t="shared" ref="DA7:DA30" si="128">IF($BD7="","",IF(CY7="",CX7-$BJ$6,$BB7))</f>
        <v>30000</v>
      </c>
      <c r="DB7" s="9"/>
      <c r="DC7" s="13" t="s">
        <v>68</v>
      </c>
      <c r="DD7" s="13"/>
      <c r="DE7" s="75" t="str">
        <f>SOURCE!C7</f>
        <v>2C-Check</v>
      </c>
      <c r="DF7" s="66">
        <f>VLOOKUP($FU$29&amp;DE7,SOURCE!$D$5:$O$38,5,FALSE)</f>
        <v>220400</v>
      </c>
      <c r="DG7" s="13"/>
      <c r="DH7" s="13"/>
      <c r="DI7" s="66">
        <f>SOURCE!E7</f>
        <v>18</v>
      </c>
      <c r="DJ7" s="66">
        <f>IF(DF7="","",DF7/DI7)</f>
        <v>12244.444444444445</v>
      </c>
      <c r="DK7" s="31">
        <f>DJ7/$GA$4</f>
        <v>41.980952380952381</v>
      </c>
      <c r="DL7" s="66"/>
      <c r="DM7" s="44">
        <f t="shared" ref="DM7:DM38" si="129">IF(DM6="","",IF(DM6&gt;=$FW$23,"",DM6+1))</f>
        <v>1</v>
      </c>
      <c r="DN7" s="41">
        <f t="shared" si="65"/>
        <v>12272520</v>
      </c>
      <c r="DO7" s="41">
        <f t="shared" ref="DO7:DO38" si="130">IF(DM7="","",SUM(EF7:EH7)+SUM(ES7:ET7)+SUM(FD7:FE7))</f>
        <v>122596.73076923078</v>
      </c>
      <c r="DP7" s="42">
        <f t="shared" si="66"/>
        <v>0</v>
      </c>
      <c r="DQ7" s="42">
        <f t="shared" si="67"/>
        <v>0</v>
      </c>
      <c r="DR7" s="42">
        <f t="shared" si="68"/>
        <v>0</v>
      </c>
      <c r="DS7" s="42">
        <f t="shared" si="69"/>
        <v>0</v>
      </c>
      <c r="DT7" s="42">
        <f t="shared" si="70"/>
        <v>0</v>
      </c>
      <c r="DU7" s="42">
        <f t="shared" si="71"/>
        <v>0</v>
      </c>
      <c r="DV7" s="42">
        <f t="shared" si="72"/>
        <v>0</v>
      </c>
      <c r="DW7" s="42">
        <f t="shared" si="73"/>
        <v>0</v>
      </c>
      <c r="DX7" s="42">
        <f t="shared" si="74"/>
        <v>122596.73076923005</v>
      </c>
      <c r="DY7" s="42">
        <f>IF(DM7="",DY6,DN7-SUM($DO$6:DO7)+SUM($DP$6:DV7)-SUM($DW$6:DW7))</f>
        <v>12149923.26923077</v>
      </c>
      <c r="DZ7" s="43">
        <f t="shared" ref="DZ7:DZ38" si="131">IF(DM7="",DZ6,IF(DY7/DN7&gt;1,1,DY7/DN7))</f>
        <v>0.99001046804004145</v>
      </c>
      <c r="EA7" s="7"/>
      <c r="EB7" s="43" t="str">
        <f>IF(DM7="","",IF(DM7&lt;=$DI$6,"True",IF(AND(DM7&gt;$DI$6,DM7&lt;=2*$DI$6),"False",IF(AND(DM7&gt;2*$DI$6,DM7&lt;=3*$DI$6),"True",IF(AND(DM7&gt;3*$DI$6,DM7&lt;=4*$DI$6),"False",IF(AND(DM7&gt;4*$DI$6,DM7&lt;=5*$DI$6),"True",IF(AND(DM7&gt;5*$DI$6,DM7&lt;=6*$DI$6),"False",IF(AND(DM7&gt;6*$DI$6,DM7&lt;=7*$DI$6),"True",IF(AND(DM7&gt;7*$DI$6,DM7&lt;=8*$DI$6),"False",IF(AND(DM7&gt;8*$DI$6,DM7&lt;=9*$DI$6),"True",IF(AND(DM7&gt;9*$DI$6,DM7&lt;=10*$DI$6),"False","True")))))))))))</f>
        <v>True</v>
      </c>
      <c r="EC7" s="41">
        <f t="shared" ref="EC7:EC70" si="132">IF(DM7="","",IF(AND(DM7&lt;=$DI$8,EB7="True"),$DF$6,IF(AND(DM7&lt;=$DI$8,EB7="False"),$DF$7,IF(AND(DM7&gt;$DI$8,EB7="True"),$DF$17,$DF$18))))</f>
        <v>185400</v>
      </c>
      <c r="ED7" s="41">
        <f t="shared" ref="ED7:ED70" si="133">IF(DM7="","",IF(DM7&lt;=$DI$8,$DF$8,$DF$19))</f>
        <v>606690</v>
      </c>
      <c r="EE7" s="41">
        <f t="shared" si="75"/>
        <v>902280</v>
      </c>
      <c r="EF7" s="41">
        <f>IF(DM7="","",IF(AND(DM7&lt;=$DI$8,EB7="True"),$GA$4*$DK$6,IF(AND(DM7&lt;=$DI$8,EB7="False"),$GA$4*$DK$7,IF(AND(DM7&gt;$DI$8,EB7="True"),$GA$4*$DK$17,$GA$4*$DK$18))))</f>
        <v>10300</v>
      </c>
      <c r="EG7" s="42">
        <f t="shared" ref="EG7:EG38" si="134">IF(DM7="","",IF(DM7&lt;=$DI$8,$GA$4*$DK$8,$GA$4*$DK$19))</f>
        <v>8426.25</v>
      </c>
      <c r="EH7" s="42">
        <f t="shared" ref="EH7:EH38" si="135">IF(DM7="","",IF(DM7&lt;=$DI$9,$GA$4*$DK$9,$GA$4*$DK$20))</f>
        <v>6265.8333333333321</v>
      </c>
      <c r="EI7" s="42">
        <f t="shared" si="76"/>
        <v>10300</v>
      </c>
      <c r="EJ7" s="42">
        <f t="shared" ref="EJ7:EJ37" si="136">IF(DM7="","",ROUND(ED7-EM7,0))</f>
        <v>8426</v>
      </c>
      <c r="EK7" s="42">
        <f t="shared" si="77"/>
        <v>6266</v>
      </c>
      <c r="EL7" s="42">
        <f>IF(DM7="","",EC7-SUM($EF$6:EF7)+SUM($DP$6:DP7))</f>
        <v>175100</v>
      </c>
      <c r="EM7" s="42">
        <f>IF(DM7="","",ED7-SUM($EG$6:EG7)+SUM($DQ$6:DQ7))</f>
        <v>598263.75</v>
      </c>
      <c r="EN7" s="42">
        <f>IF(DM7="","",EE7-SUM($EH$6:EH7)+SUM($DR$6:DR7))</f>
        <v>896014.16666666663</v>
      </c>
      <c r="EO7" s="152">
        <f>IF(DM7="","",SUM(EL7:EN7)/SUM(EC7:EE7))</f>
        <v>0.98524992573444203</v>
      </c>
      <c r="EP7" s="43"/>
      <c r="EQ7" s="42">
        <f t="shared" si="78"/>
        <v>448050</v>
      </c>
      <c r="ER7" s="42">
        <f t="shared" si="79"/>
        <v>248100</v>
      </c>
      <c r="ES7" s="42">
        <f t="shared" ref="ES7:ES38" si="137">IF(DM7="","",$GA$4*$DK$10)</f>
        <v>3733.75</v>
      </c>
      <c r="ET7" s="42">
        <f t="shared" ref="ET7:ET38" si="138">IF(DM7="","",$GA$4*$DK$11)</f>
        <v>6122.9807692307695</v>
      </c>
      <c r="EU7" s="42">
        <f t="shared" si="80"/>
        <v>3734</v>
      </c>
      <c r="EV7" s="42">
        <f t="shared" si="81"/>
        <v>6123</v>
      </c>
      <c r="EW7" s="42">
        <f>IF(DM7="","",IF(DS7&gt;0,DS7,EQ7-SUM($ES$6:ES7)+SUM($DS$6:DS7)))</f>
        <v>444316.25</v>
      </c>
      <c r="EX7" s="42">
        <f>IF(DM7="","",IF(DT7&gt;0,DT7,ER7-SUM($ET$6:ET7)+SUM($DT$6:DT7)))</f>
        <v>241977.01923076922</v>
      </c>
      <c r="EY7" s="43">
        <f t="shared" si="82"/>
        <v>0.9753205128205128</v>
      </c>
      <c r="EZ7" s="43">
        <f t="shared" si="83"/>
        <v>0.9916666666666667</v>
      </c>
      <c r="FA7" s="43"/>
      <c r="FB7" s="42">
        <f t="shared" si="84"/>
        <v>4700000</v>
      </c>
      <c r="FC7" s="42">
        <f t="shared" si="85"/>
        <v>5182000</v>
      </c>
      <c r="FD7" s="41">
        <f t="shared" ref="FD7:FD38" si="139">IF(DM7="","",IF(DM7&lt;=$GA$8,$GA$4*$DK$12,$GA$4*$DK$23))</f>
        <v>54833.333333333336</v>
      </c>
      <c r="FE7" s="41">
        <f t="shared" ref="FE7:FE38" si="140">IF(DM7="","",$GA$4*($DK$24))</f>
        <v>32914.583333333336</v>
      </c>
      <c r="FF7" s="42">
        <f t="shared" si="86"/>
        <v>54833</v>
      </c>
      <c r="FG7" s="42">
        <f t="shared" si="87"/>
        <v>32915</v>
      </c>
      <c r="FH7" s="42">
        <f>IF(DM7="","",IF(DU7&gt;0,DU7,FB7-SUM($FD$6:FD7)+SUM($DU$6:DU7)))</f>
        <v>4645166.666666667</v>
      </c>
      <c r="FI7" s="42">
        <f>IF(DM7="","",FC7-SUM($FE$6:FE7)+SUM($DV$6:DV7)-SUM($DW$6:DW7))</f>
        <v>5149085.416666667</v>
      </c>
      <c r="FJ7" s="152">
        <f t="shared" si="88"/>
        <v>0.99112042940025646</v>
      </c>
      <c r="FK7" s="7"/>
      <c r="FL7" s="5" t="s">
        <v>372</v>
      </c>
      <c r="FM7" s="14" t="str">
        <f t="shared" si="89"/>
        <v>CFM56-5B4/3</v>
      </c>
      <c r="FN7" s="14" t="s">
        <v>381</v>
      </c>
      <c r="FO7" s="14" t="s">
        <v>383</v>
      </c>
      <c r="FP7" s="14" t="s">
        <v>393</v>
      </c>
      <c r="FQ7" s="14" t="s">
        <v>397</v>
      </c>
      <c r="FR7" s="27">
        <v>1.1000000000000001</v>
      </c>
      <c r="FS7" s="21">
        <v>0.01</v>
      </c>
      <c r="FT7" s="293" t="s">
        <v>363</v>
      </c>
      <c r="FU7" s="317" t="s">
        <v>477</v>
      </c>
      <c r="FV7" s="164" t="s">
        <v>20</v>
      </c>
      <c r="FW7" s="8">
        <v>72</v>
      </c>
      <c r="FX7" s="24" t="s">
        <v>261</v>
      </c>
      <c r="FY7" s="39" t="str">
        <f>IF(AE3&lt;=24200,"True","")</f>
        <v/>
      </c>
      <c r="FZ7" s="2" t="s">
        <v>0</v>
      </c>
      <c r="GA7" s="46">
        <f>IF(AND(O7&gt;0.75,O7&lt;=1),1,IF(AND(O7&gt;1,O7&lt;=1.3),0.8,IF(AND(O7&gt;1.3,O7&lt;=1.5),0.7,IF(AND(O7&gt;1.5,O7&lt;=1.7),0.6,IF(AND(O7&gt;1.7,O7&lt;=2),0.55,IF(AND(O7&gt;2,O7&lt;=2.5),0.5,0.5))))))</f>
        <v>0.55000000000000004</v>
      </c>
      <c r="GB7" s="46"/>
      <c r="GC7" s="68">
        <f t="shared" si="26"/>
        <v>2</v>
      </c>
      <c r="GD7" s="78">
        <f t="shared" si="27"/>
        <v>0</v>
      </c>
      <c r="GE7" s="309">
        <f t="shared" si="28"/>
        <v>0.98002093608008278</v>
      </c>
      <c r="GF7" s="78">
        <f t="shared" si="29"/>
        <v>0</v>
      </c>
      <c r="GG7" s="310">
        <f t="shared" si="30"/>
        <v>0.97049985146888429</v>
      </c>
      <c r="GH7" s="78">
        <f t="shared" si="31"/>
        <v>0</v>
      </c>
      <c r="GI7" s="310">
        <f t="shared" si="32"/>
        <v>0.98333333333333328</v>
      </c>
      <c r="GJ7" s="311">
        <f t="shared" si="33"/>
        <v>0</v>
      </c>
      <c r="GK7" s="310">
        <f t="shared" si="34"/>
        <v>0.95064102564102571</v>
      </c>
      <c r="GL7" s="311">
        <f t="shared" si="35"/>
        <v>0</v>
      </c>
      <c r="GM7" s="310">
        <f t="shared" si="36"/>
        <v>0.98224085880051271</v>
      </c>
      <c r="GO7" s="266" t="s">
        <v>68</v>
      </c>
      <c r="GP7" s="266" t="s">
        <v>459</v>
      </c>
      <c r="GQ7" s="14">
        <f>IF(GS7="","",COUNT($GS$4:GS7))</f>
        <v>4</v>
      </c>
      <c r="GR7" s="24" t="str">
        <f t="shared" si="37"/>
        <v>4C-Check</v>
      </c>
      <c r="GS7" s="14">
        <f t="shared" si="38"/>
        <v>72</v>
      </c>
      <c r="GU7" s="263">
        <f>IF(GS7="","",$DF$7)</f>
        <v>220400</v>
      </c>
      <c r="GV7" s="13"/>
      <c r="GW7" s="13"/>
      <c r="GX7" s="13"/>
      <c r="GY7" s="14"/>
      <c r="GZ7" s="13"/>
      <c r="HA7" s="14">
        <f>IF(HC7="","",_xlfn.RANK.EQ(HC7,$HC$4:$HC$44,1)+COUNTIF($HC$4:$HC$44,HC7)-COUNTIF($HC$4:HC7,HC7))</f>
        <v>6</v>
      </c>
      <c r="HB7" s="24">
        <f t="shared" si="39"/>
        <v>4</v>
      </c>
      <c r="HC7" s="14">
        <f t="shared" si="0"/>
        <v>72</v>
      </c>
      <c r="HD7" s="24" t="str">
        <f t="shared" si="40"/>
        <v>Airframe</v>
      </c>
      <c r="HE7" s="13" t="str">
        <f t="shared" si="1"/>
        <v>4C-Check</v>
      </c>
      <c r="HF7" s="13" t="str">
        <f t="shared" si="2"/>
        <v>4       Airframe  4C-Check</v>
      </c>
      <c r="HG7" s="13"/>
      <c r="HH7" s="24" t="str">
        <f t="shared" si="3"/>
        <v/>
      </c>
      <c r="HI7" s="66">
        <f t="shared" si="4"/>
        <v>220400</v>
      </c>
      <c r="HJ7" s="82" t="str">
        <f t="shared" si="5"/>
        <v/>
      </c>
      <c r="HK7" s="66" t="str">
        <f t="shared" si="6"/>
        <v/>
      </c>
      <c r="HL7" s="66" t="str">
        <f t="shared" si="7"/>
        <v/>
      </c>
      <c r="HM7" s="66" t="str">
        <f t="shared" si="8"/>
        <v/>
      </c>
      <c r="HN7" s="24">
        <f t="shared" ref="HN7:HN21" si="141">IF(HO7="","",HN6+1)</f>
        <v>4</v>
      </c>
      <c r="HO7" s="14">
        <f t="shared" si="9"/>
        <v>54</v>
      </c>
      <c r="HP7" s="24" t="str">
        <f t="shared" si="10"/>
        <v>Airframe</v>
      </c>
      <c r="HQ7" s="24" t="str">
        <f t="shared" si="11"/>
        <v>3C-Check</v>
      </c>
      <c r="HR7" s="13" t="str">
        <f t="shared" si="41"/>
        <v>4       Airframe  3C-Check</v>
      </c>
      <c r="HT7" s="13" t="str">
        <f t="shared" si="12"/>
        <v/>
      </c>
      <c r="HU7" s="75">
        <f t="shared" si="13"/>
        <v>185400</v>
      </c>
      <c r="HV7" s="75" t="str">
        <f t="shared" si="42"/>
        <v/>
      </c>
      <c r="HW7" s="75" t="str">
        <f t="shared" si="14"/>
        <v/>
      </c>
      <c r="HX7" s="75" t="str">
        <f t="shared" si="15"/>
        <v/>
      </c>
      <c r="HY7" s="66" t="str">
        <f t="shared" si="16"/>
        <v/>
      </c>
      <c r="HZ7" s="151" t="str">
        <f t="shared" si="17"/>
        <v>Airframe</v>
      </c>
      <c r="IA7" s="151" t="str">
        <f t="shared" si="18"/>
        <v>4       Airframe  4C-Check</v>
      </c>
      <c r="IB7" s="151"/>
      <c r="IC7" s="149">
        <f t="shared" si="19"/>
        <v>72</v>
      </c>
      <c r="ID7" s="151" t="str">
        <f t="shared" si="20"/>
        <v/>
      </c>
      <c r="IE7" s="33">
        <f t="shared" si="21"/>
        <v>220400</v>
      </c>
      <c r="IF7" s="33" t="str">
        <f t="shared" si="22"/>
        <v/>
      </c>
      <c r="IG7" s="33" t="str">
        <f t="shared" si="23"/>
        <v/>
      </c>
      <c r="IH7" s="33" t="str">
        <f t="shared" si="24"/>
        <v/>
      </c>
      <c r="II7" s="33" t="str">
        <f t="shared" si="25"/>
        <v/>
      </c>
    </row>
    <row r="8" spans="1:251" ht="3" customHeight="1" x14ac:dyDescent="0.2">
      <c r="B8" s="458"/>
      <c r="F8" s="131"/>
      <c r="H8" s="52"/>
      <c r="I8" s="52"/>
      <c r="J8" s="52"/>
      <c r="K8" s="52"/>
      <c r="L8" s="52"/>
      <c r="M8" s="52"/>
      <c r="N8" s="52"/>
      <c r="O8" s="52"/>
      <c r="P8" s="52"/>
      <c r="Q8" s="52"/>
      <c r="R8" s="52"/>
      <c r="S8" s="52"/>
      <c r="T8" s="53"/>
      <c r="U8" s="52"/>
      <c r="V8" s="54"/>
      <c r="W8" s="52"/>
      <c r="X8" s="405"/>
      <c r="Y8" s="225"/>
      <c r="AB8" s="23">
        <f t="shared" ref="AB8:AB12" si="142">AB7+500</f>
        <v>3000</v>
      </c>
      <c r="AC8" s="20">
        <v>1.2</v>
      </c>
      <c r="AD8" s="18">
        <f>(AD7-($AD$6-$AD$11)/5)</f>
        <v>1.4512</v>
      </c>
      <c r="AE8" s="18">
        <f>AE7-($AE$6-$AE$11)/5</f>
        <v>0.97399999999999998</v>
      </c>
      <c r="AF8" s="18">
        <f>AF7-($AF$6-$AF$11)/5</f>
        <v>1.5199999999999998</v>
      </c>
      <c r="AG8" s="18">
        <f>AG7-($AG$6-$AG$11)/5</f>
        <v>0.97399999999999998</v>
      </c>
      <c r="AH8" s="50">
        <f t="shared" si="43"/>
        <v>2288900</v>
      </c>
      <c r="AI8" s="51">
        <f t="shared" si="90"/>
        <v>136.4128</v>
      </c>
      <c r="AJ8" s="50">
        <f t="shared" si="91"/>
        <v>13982.680999632488</v>
      </c>
      <c r="AK8" s="50">
        <f t="shared" si="92"/>
        <v>16779.217199558985</v>
      </c>
      <c r="AL8" s="348">
        <f t="shared" ref="AL8:AL14" si="143">IF($AQ$3="",AR8,AV8)</f>
        <v>2403345</v>
      </c>
      <c r="AM8" s="354">
        <f t="shared" si="93"/>
        <v>234.41249999999997</v>
      </c>
      <c r="AN8" s="348">
        <f t="shared" si="94"/>
        <v>8543.8596491228091</v>
      </c>
      <c r="AO8" s="348">
        <f t="shared" si="95"/>
        <v>10252.63157894737</v>
      </c>
      <c r="AP8" s="7"/>
      <c r="AQ8" s="349">
        <f t="shared" si="96"/>
        <v>1.2</v>
      </c>
      <c r="AR8" s="50">
        <f t="shared" si="45"/>
        <v>2403345</v>
      </c>
      <c r="AS8" s="51">
        <f t="shared" si="46"/>
        <v>234.41249999999997</v>
      </c>
      <c r="AT8" s="348">
        <f t="shared" si="47"/>
        <v>8543.8596491228091</v>
      </c>
      <c r="AU8" s="348">
        <f t="shared" si="48"/>
        <v>10252.63157894737</v>
      </c>
      <c r="AV8" s="350">
        <f t="shared" si="49"/>
        <v>2403345</v>
      </c>
      <c r="AW8" s="349">
        <f t="shared" si="50"/>
        <v>234.41249999999997</v>
      </c>
      <c r="AX8" s="348">
        <f t="shared" si="51"/>
        <v>8000</v>
      </c>
      <c r="AY8" s="348">
        <f t="shared" si="52"/>
        <v>9600</v>
      </c>
      <c r="AZ8" s="7"/>
      <c r="BA8" s="24">
        <f t="shared" ref="BA8:BA30" si="144">IF(OR(BB8="",BA7=""),"",BA7+1)</f>
        <v>3</v>
      </c>
      <c r="BB8" s="66">
        <f>IF(VLOOKUP($FW$29,SOURCE!$AH$5:$AJ$50,3,FALSE)="CFM56-5B",SOURCE!BB7,SOURCE!BG7)</f>
        <v>30000</v>
      </c>
      <c r="BC8" s="66">
        <f>IF(VLOOKUP($FW$29,SOURCE!$AH$5:$AJ$50,3,FALSE)="CFM56-5B",SOURCE!BC7,SOURCE!BH7)</f>
        <v>131000</v>
      </c>
      <c r="BD8" s="31">
        <f t="shared" si="97"/>
        <v>4.37</v>
      </c>
      <c r="BE8" s="13"/>
      <c r="BF8" s="13"/>
      <c r="BG8" s="66" t="str">
        <f t="shared" si="98"/>
        <v/>
      </c>
      <c r="BH8" s="66" t="str">
        <f t="shared" si="99"/>
        <v/>
      </c>
      <c r="BI8" s="66">
        <f>IF(BA8="","",IF(BG8="",BB8-$BE$6,BB8))</f>
        <v>17500</v>
      </c>
      <c r="BJ8" s="13"/>
      <c r="BK8" s="13"/>
      <c r="BL8" s="66" t="str">
        <f t="shared" si="100"/>
        <v/>
      </c>
      <c r="BM8" s="66" t="str">
        <f t="shared" si="101"/>
        <v/>
      </c>
      <c r="BN8" s="66">
        <f t="shared" si="102"/>
        <v>9500</v>
      </c>
      <c r="BO8" s="66">
        <f t="shared" si="103"/>
        <v>131000</v>
      </c>
      <c r="BP8" s="66">
        <f t="shared" si="53"/>
        <v>6549.9999999999991</v>
      </c>
      <c r="BQ8" s="66">
        <f t="shared" si="104"/>
        <v>30000</v>
      </c>
      <c r="BR8" s="66" t="str">
        <f t="shared" si="105"/>
        <v/>
      </c>
      <c r="BS8" s="66" t="str">
        <f t="shared" si="106"/>
        <v/>
      </c>
      <c r="BT8" s="66">
        <f t="shared" si="54"/>
        <v>22000</v>
      </c>
      <c r="BU8" s="66" t="str">
        <f t="shared" si="107"/>
        <v/>
      </c>
      <c r="BV8" s="66" t="str">
        <f t="shared" si="108"/>
        <v/>
      </c>
      <c r="BW8" s="66">
        <f t="shared" si="55"/>
        <v>14000</v>
      </c>
      <c r="BX8" s="66">
        <f t="shared" si="109"/>
        <v>131000</v>
      </c>
      <c r="BY8" s="66">
        <f t="shared" si="56"/>
        <v>26199.999999999996</v>
      </c>
      <c r="BZ8" s="66">
        <f t="shared" si="57"/>
        <v>30000</v>
      </c>
      <c r="CA8" s="66" t="str">
        <f t="shared" si="110"/>
        <v/>
      </c>
      <c r="CB8" s="66" t="str">
        <f t="shared" si="58"/>
        <v/>
      </c>
      <c r="CC8" s="66">
        <f t="shared" si="59"/>
        <v>22000</v>
      </c>
      <c r="CD8" s="66" t="str">
        <f t="shared" ref="CD8:CD30" si="145">IF($BA8="","",IF(ROUND($BJ$6,0)&gt;ROUND(CC8-$BJ$6,0),$BC8,""))</f>
        <v/>
      </c>
      <c r="CE8" s="66" t="str">
        <f t="shared" si="60"/>
        <v/>
      </c>
      <c r="CF8" s="66">
        <f t="shared" si="61"/>
        <v>14000</v>
      </c>
      <c r="CG8" s="66">
        <f t="shared" si="111"/>
        <v>131000</v>
      </c>
      <c r="CH8" s="66">
        <f t="shared" si="62"/>
        <v>26199.999999999996</v>
      </c>
      <c r="CI8" s="66">
        <f t="shared" si="63"/>
        <v>30000</v>
      </c>
      <c r="CJ8" s="66" t="str">
        <f t="shared" si="112"/>
        <v/>
      </c>
      <c r="CK8" s="66" t="str">
        <f t="shared" si="113"/>
        <v/>
      </c>
      <c r="CL8" s="66">
        <f t="shared" si="64"/>
        <v>22000</v>
      </c>
      <c r="CM8" s="66" t="str">
        <f t="shared" si="114"/>
        <v/>
      </c>
      <c r="CN8" s="66" t="str">
        <f t="shared" si="115"/>
        <v/>
      </c>
      <c r="CO8" s="66">
        <f t="shared" si="116"/>
        <v>14000</v>
      </c>
      <c r="CP8" s="66">
        <f t="shared" si="117"/>
        <v>131000</v>
      </c>
      <c r="CQ8" s="66">
        <f t="shared" si="118"/>
        <v>26199.999999999996</v>
      </c>
      <c r="CR8" s="66">
        <f t="shared" si="119"/>
        <v>30000</v>
      </c>
      <c r="CS8" s="66" t="str">
        <f t="shared" si="120"/>
        <v/>
      </c>
      <c r="CT8" s="66" t="str">
        <f t="shared" si="121"/>
        <v/>
      </c>
      <c r="CU8" s="66">
        <f t="shared" si="122"/>
        <v>22000</v>
      </c>
      <c r="CV8" s="66" t="str">
        <f t="shared" si="123"/>
        <v/>
      </c>
      <c r="CW8" s="66" t="str">
        <f t="shared" si="124"/>
        <v/>
      </c>
      <c r="CX8" s="66">
        <f t="shared" si="125"/>
        <v>14000</v>
      </c>
      <c r="CY8" s="66">
        <f t="shared" si="126"/>
        <v>131000</v>
      </c>
      <c r="CZ8" s="66">
        <f t="shared" si="127"/>
        <v>26199.999999999996</v>
      </c>
      <c r="DA8" s="66">
        <f t="shared" si="128"/>
        <v>30000</v>
      </c>
      <c r="DB8" s="9"/>
      <c r="DC8" s="13" t="s">
        <v>68</v>
      </c>
      <c r="DE8" s="9" t="str">
        <f>SOURCE!C11</f>
        <v>6Y SI</v>
      </c>
      <c r="DF8" s="66">
        <f>VLOOKUP($FU$29&amp;DE8,SOURCE!$D$5:$O$38,5,FALSE)</f>
        <v>606690</v>
      </c>
      <c r="DI8" s="66">
        <f>SOURCE!E9</f>
        <v>72</v>
      </c>
      <c r="DJ8" s="66">
        <f>IF(DF8="","",DF8/DI8)</f>
        <v>8426.25</v>
      </c>
      <c r="DK8" s="31">
        <f>DJ8/$GA$4</f>
        <v>28.889999999999997</v>
      </c>
      <c r="DL8" s="66"/>
      <c r="DM8" s="44">
        <f t="shared" si="129"/>
        <v>2</v>
      </c>
      <c r="DN8" s="41">
        <f t="shared" si="65"/>
        <v>12272520</v>
      </c>
      <c r="DO8" s="41">
        <f t="shared" si="130"/>
        <v>122596.73076923078</v>
      </c>
      <c r="DP8" s="42">
        <f t="shared" si="66"/>
        <v>0</v>
      </c>
      <c r="DQ8" s="42">
        <f t="shared" si="67"/>
        <v>0</v>
      </c>
      <c r="DR8" s="42">
        <f t="shared" si="68"/>
        <v>0</v>
      </c>
      <c r="DS8" s="42">
        <f t="shared" si="69"/>
        <v>0</v>
      </c>
      <c r="DT8" s="42">
        <f t="shared" si="70"/>
        <v>0</v>
      </c>
      <c r="DU8" s="42">
        <f t="shared" si="71"/>
        <v>0</v>
      </c>
      <c r="DV8" s="42">
        <f t="shared" si="72"/>
        <v>0</v>
      </c>
      <c r="DW8" s="42">
        <f t="shared" si="73"/>
        <v>0</v>
      </c>
      <c r="DX8" s="42">
        <f t="shared" si="74"/>
        <v>245193.46153846197</v>
      </c>
      <c r="DY8" s="42">
        <f>IF(DM8="",DY7,DN8-SUM($DO$6:DO8)+SUM($DP$6:DV8)-SUM($DW$6:DW8))</f>
        <v>12027326.538461538</v>
      </c>
      <c r="DZ8" s="43">
        <f t="shared" si="131"/>
        <v>0.98002093608008278</v>
      </c>
      <c r="EA8" s="7"/>
      <c r="EB8" s="43" t="str">
        <f t="shared" ref="EB8:EB71" si="146">IF(DM8="","",IF(DM8&lt;=$DI$6,"True",IF(AND(DM8&gt;$DI$6,DM8&lt;=2*$DI$6),"False",IF(AND(DM8&gt;2*$DI$6,DM8&lt;=3*$DI$6),"True",IF(AND(DM8&gt;3*$DI$6,DM8&lt;=4*$DI$6),"False",IF(AND(DM8&gt;4*$DI$6,DM8&lt;=5*$DI$6),"True",IF(AND(DM8&gt;5*$DI$6,DM8&lt;=6*$DI$6),"False",IF(AND(DM8&gt;6*$DI$6,DM8&lt;=7*$DI$6),"True",IF(AND(DM8&gt;7*$DI$6,DM8&lt;=8*$DI$6),"False",IF(AND(DM8&gt;8*$DI$6,DM8&lt;=9*$DI$6),"True",IF(AND(DM8&gt;9*$DI$6,DM8&lt;=10*$DI$6),"False","True")))))))))))</f>
        <v>True</v>
      </c>
      <c r="EC8" s="41">
        <f t="shared" si="132"/>
        <v>185400</v>
      </c>
      <c r="ED8" s="41">
        <f t="shared" si="133"/>
        <v>606690</v>
      </c>
      <c r="EE8" s="41">
        <f t="shared" si="75"/>
        <v>902280</v>
      </c>
      <c r="EF8" s="41">
        <f t="shared" ref="EF8:EF38" si="147">IF(DM8="","",IF(AND(DM8&lt;=$DI$8,EB8="True"),$GA$4*$DK$6,IF(AND(DM8&lt;=$DI$8,EB8="False"),$GA$4*$DK$7,IF(AND(DM8&gt;$DI$8,EB8="True"),$GA$4*$DK$17,$GA$4*$DK$18))))</f>
        <v>10300</v>
      </c>
      <c r="EG8" s="42">
        <f t="shared" si="134"/>
        <v>8426.25</v>
      </c>
      <c r="EH8" s="42">
        <f t="shared" si="135"/>
        <v>6265.8333333333321</v>
      </c>
      <c r="EI8" s="42">
        <f t="shared" si="76"/>
        <v>20600</v>
      </c>
      <c r="EJ8" s="42">
        <f t="shared" si="136"/>
        <v>16853</v>
      </c>
      <c r="EK8" s="42">
        <f t="shared" si="77"/>
        <v>12532</v>
      </c>
      <c r="EL8" s="42">
        <f>IF(DM8="","",EC8-SUM($EF$6:EF8)+SUM($DP$6:DP8))</f>
        <v>164800</v>
      </c>
      <c r="EM8" s="42">
        <f>IF(DM8="","",ED8-SUM($EG$6:EG8)+SUM($DQ$6:DQ8))</f>
        <v>589837.5</v>
      </c>
      <c r="EN8" s="42">
        <f>IF(DM8="","",EE8-SUM($EH$6:EH8)+SUM($DR$6:DR8))</f>
        <v>889748.33333333337</v>
      </c>
      <c r="EO8" s="152">
        <f t="shared" ref="EO8:EO37" si="148">IF(DM8="","",SUM(EL8:EN8)/SUM(EC8:EE8))</f>
        <v>0.97049985146888429</v>
      </c>
      <c r="EP8" s="43"/>
      <c r="EQ8" s="42">
        <f t="shared" si="78"/>
        <v>448050</v>
      </c>
      <c r="ER8" s="42">
        <f t="shared" si="79"/>
        <v>248100</v>
      </c>
      <c r="ES8" s="42">
        <f t="shared" si="137"/>
        <v>3733.75</v>
      </c>
      <c r="ET8" s="42">
        <f t="shared" si="138"/>
        <v>6122.9807692307695</v>
      </c>
      <c r="EU8" s="42">
        <f t="shared" si="80"/>
        <v>7468</v>
      </c>
      <c r="EV8" s="42">
        <f t="shared" si="81"/>
        <v>12246</v>
      </c>
      <c r="EW8" s="42">
        <f>IF(DM8="","",IF(DS8&gt;0,DS8,EQ8-SUM($ES$6:ES8)+SUM($DS$6:DS8)))</f>
        <v>440582.5</v>
      </c>
      <c r="EX8" s="42">
        <f>IF(DM8="","",IF(DT8&gt;0,DT8,ER8-SUM($ET$6:ET8)+SUM($DT$6:DT8)))</f>
        <v>235854.03846153847</v>
      </c>
      <c r="EY8" s="43">
        <f t="shared" si="82"/>
        <v>0.95064102564102571</v>
      </c>
      <c r="EZ8" s="43">
        <f t="shared" si="83"/>
        <v>0.98333333333333328</v>
      </c>
      <c r="FA8" s="43"/>
      <c r="FB8" s="42">
        <f t="shared" si="84"/>
        <v>4700000</v>
      </c>
      <c r="FC8" s="42">
        <f t="shared" si="85"/>
        <v>5182000</v>
      </c>
      <c r="FD8" s="41">
        <f t="shared" si="139"/>
        <v>54833.333333333336</v>
      </c>
      <c r="FE8" s="41">
        <f t="shared" si="140"/>
        <v>32914.583333333336</v>
      </c>
      <c r="FF8" s="42">
        <f t="shared" si="86"/>
        <v>109667</v>
      </c>
      <c r="FG8" s="42">
        <f t="shared" si="87"/>
        <v>65829</v>
      </c>
      <c r="FH8" s="42">
        <f>IF(DM8="","",IF(DU8&gt;0,DU8,FB8-SUM($FD$6:FD8)+SUM($DU$6:DU8)))</f>
        <v>4590333.333333333</v>
      </c>
      <c r="FI8" s="42">
        <f>IF(DM8="","",FC8-SUM($FE$6:FE8)+SUM($DV$6:DV8)-SUM($DW$6:DW8))</f>
        <v>5116170.833333333</v>
      </c>
      <c r="FJ8" s="152">
        <f t="shared" si="88"/>
        <v>0.98224085880051271</v>
      </c>
      <c r="FL8" s="5" t="s">
        <v>373</v>
      </c>
      <c r="FM8" s="14" t="str">
        <f t="shared" si="89"/>
        <v>CFM56-5B6/P</v>
      </c>
      <c r="FN8" s="14" t="s">
        <v>384</v>
      </c>
      <c r="FO8" s="14" t="s">
        <v>386</v>
      </c>
      <c r="FP8" s="14" t="s">
        <v>386</v>
      </c>
      <c r="FQ8" s="14" t="s">
        <v>398</v>
      </c>
      <c r="FR8" s="27">
        <v>1.2</v>
      </c>
      <c r="FS8" s="21">
        <v>0.02</v>
      </c>
      <c r="FT8" s="21"/>
      <c r="FU8" s="317" t="s">
        <v>368</v>
      </c>
      <c r="FV8" s="164" t="s">
        <v>258</v>
      </c>
      <c r="FW8" s="8">
        <v>84</v>
      </c>
      <c r="FX8" s="24" t="s">
        <v>350</v>
      </c>
      <c r="FY8" s="66">
        <f>VLOOKUP(FW29,SOURCE!AH5:AK49,4,FALSE)</f>
        <v>27000</v>
      </c>
      <c r="FZ8" s="2" t="s">
        <v>202</v>
      </c>
      <c r="GA8" s="19">
        <f>GS30</f>
        <v>85</v>
      </c>
      <c r="GB8" s="19"/>
      <c r="GC8" s="68">
        <f t="shared" si="26"/>
        <v>3</v>
      </c>
      <c r="GD8" s="78">
        <f t="shared" si="27"/>
        <v>0</v>
      </c>
      <c r="GE8" s="309">
        <f t="shared" si="28"/>
        <v>0.97003140412012434</v>
      </c>
      <c r="GF8" s="78">
        <f t="shared" si="29"/>
        <v>0</v>
      </c>
      <c r="GG8" s="310">
        <f t="shared" si="30"/>
        <v>0.95574977720332632</v>
      </c>
      <c r="GH8" s="78">
        <f t="shared" si="31"/>
        <v>0</v>
      </c>
      <c r="GI8" s="310">
        <f t="shared" si="32"/>
        <v>0.97499999999999998</v>
      </c>
      <c r="GJ8" s="311">
        <f t="shared" si="33"/>
        <v>0</v>
      </c>
      <c r="GK8" s="310">
        <f t="shared" si="34"/>
        <v>0.92596153846153839</v>
      </c>
      <c r="GL8" s="311">
        <f t="shared" si="35"/>
        <v>0</v>
      </c>
      <c r="GM8" s="310">
        <f t="shared" si="36"/>
        <v>0.97336128820076906</v>
      </c>
      <c r="GO8" s="266" t="s">
        <v>68</v>
      </c>
      <c r="GP8" s="266" t="s">
        <v>460</v>
      </c>
      <c r="GQ8" s="14">
        <f>IF(GS8="","",COUNT($GS$4:GS8))</f>
        <v>5</v>
      </c>
      <c r="GR8" s="24" t="str">
        <f t="shared" si="37"/>
        <v>5C-Check</v>
      </c>
      <c r="GS8" s="14">
        <f t="shared" si="38"/>
        <v>90</v>
      </c>
      <c r="GU8" s="263">
        <f>IF(GS8="","",$DF$17)</f>
        <v>222480</v>
      </c>
      <c r="GV8" s="13"/>
      <c r="GW8" s="13"/>
      <c r="GX8" s="13"/>
      <c r="GY8" s="14"/>
      <c r="GZ8" s="13"/>
      <c r="HA8" s="14">
        <f>IF(HC8="","",_xlfn.RANK.EQ(HC8,$HC$4:$HC$44,1)+COUNTIF($HC$4:$HC$44,HC8)-COUNTIF($HC$4:HC8,HC8))</f>
        <v>9</v>
      </c>
      <c r="HB8" s="24">
        <f t="shared" si="39"/>
        <v>5</v>
      </c>
      <c r="HC8" s="14">
        <f t="shared" si="0"/>
        <v>90</v>
      </c>
      <c r="HD8" s="24" t="str">
        <f t="shared" si="40"/>
        <v>Airframe</v>
      </c>
      <c r="HE8" s="13" t="str">
        <f t="shared" si="1"/>
        <v>5C-Check</v>
      </c>
      <c r="HF8" s="13" t="str">
        <f t="shared" si="2"/>
        <v>5       Airframe  5C-Check</v>
      </c>
      <c r="HG8" s="13"/>
      <c r="HH8" s="24" t="str">
        <f t="shared" si="3"/>
        <v/>
      </c>
      <c r="HI8" s="66">
        <f t="shared" si="4"/>
        <v>222480</v>
      </c>
      <c r="HJ8" s="82" t="str">
        <f t="shared" si="5"/>
        <v/>
      </c>
      <c r="HK8" s="66" t="str">
        <f t="shared" si="6"/>
        <v/>
      </c>
      <c r="HL8" s="66" t="str">
        <f t="shared" si="7"/>
        <v/>
      </c>
      <c r="HM8" s="66" t="str">
        <f t="shared" si="8"/>
        <v/>
      </c>
      <c r="HN8" s="24">
        <f t="shared" si="141"/>
        <v>5</v>
      </c>
      <c r="HO8" s="14">
        <f t="shared" si="9"/>
        <v>72</v>
      </c>
      <c r="HP8" s="24" t="str">
        <f t="shared" si="10"/>
        <v>Airframe</v>
      </c>
      <c r="HQ8" s="24" t="str">
        <f t="shared" si="11"/>
        <v>6Y SI</v>
      </c>
      <c r="HR8" s="13" t="str">
        <f t="shared" si="41"/>
        <v>5       Airframe  6Y SI</v>
      </c>
      <c r="HT8" s="13" t="str">
        <f t="shared" si="12"/>
        <v/>
      </c>
      <c r="HU8" s="75">
        <f t="shared" si="13"/>
        <v>606690</v>
      </c>
      <c r="HV8" s="75" t="str">
        <f t="shared" si="42"/>
        <v/>
      </c>
      <c r="HW8" s="75" t="str">
        <f t="shared" si="14"/>
        <v/>
      </c>
      <c r="HX8" s="75" t="str">
        <f t="shared" si="15"/>
        <v/>
      </c>
      <c r="HY8" s="66" t="str">
        <f t="shared" si="16"/>
        <v/>
      </c>
      <c r="HZ8" s="151" t="str">
        <f t="shared" si="17"/>
        <v>Airframe</v>
      </c>
      <c r="IA8" s="151" t="str">
        <f t="shared" si="18"/>
        <v>5       Airframe  5C-Check</v>
      </c>
      <c r="IB8" s="151"/>
      <c r="IC8" s="149">
        <f t="shared" si="19"/>
        <v>90</v>
      </c>
      <c r="ID8" s="151" t="str">
        <f t="shared" si="20"/>
        <v/>
      </c>
      <c r="IE8" s="33">
        <f t="shared" si="21"/>
        <v>222480</v>
      </c>
      <c r="IF8" s="33" t="str">
        <f t="shared" si="22"/>
        <v/>
      </c>
      <c r="IG8" s="33" t="str">
        <f t="shared" si="23"/>
        <v/>
      </c>
      <c r="IH8" s="33" t="str">
        <f t="shared" si="24"/>
        <v/>
      </c>
      <c r="II8" s="33" t="str">
        <f t="shared" si="25"/>
        <v/>
      </c>
    </row>
    <row r="9" spans="1:251" ht="3" customHeight="1" x14ac:dyDescent="0.2">
      <c r="A9" s="9"/>
      <c r="B9" s="459"/>
      <c r="H9" s="52"/>
      <c r="I9" s="52"/>
      <c r="J9" s="52"/>
      <c r="K9" s="52"/>
      <c r="L9" s="52"/>
      <c r="M9" s="52"/>
      <c r="N9" s="52"/>
      <c r="O9" s="52"/>
      <c r="P9" s="52"/>
      <c r="Q9" s="52"/>
      <c r="R9" s="52"/>
      <c r="S9" s="52"/>
      <c r="T9" s="52"/>
      <c r="U9" s="52"/>
      <c r="V9" s="52"/>
      <c r="W9" s="52"/>
      <c r="X9" s="52"/>
      <c r="Y9" s="401"/>
      <c r="AB9" s="23">
        <f t="shared" si="142"/>
        <v>3500</v>
      </c>
      <c r="AC9" s="20">
        <v>1.3</v>
      </c>
      <c r="AD9" s="18">
        <f>(AD8-($AD$6-$AD$11)/5)</f>
        <v>1.3558000000000001</v>
      </c>
      <c r="AE9" s="18">
        <f>AE8-($AE$6-$AE$11)/5</f>
        <v>0.97599999999999998</v>
      </c>
      <c r="AF9" s="18">
        <f>AF8-($AF$6-$AF$11)/5</f>
        <v>1.4299999999999997</v>
      </c>
      <c r="AG9" s="18">
        <f>AG8-($AG$6-$AG$11)/5</f>
        <v>0.97599999999999998</v>
      </c>
      <c r="AH9" s="50">
        <f t="shared" si="43"/>
        <v>2293600</v>
      </c>
      <c r="AI9" s="51">
        <f t="shared" si="90"/>
        <v>127.44520000000001</v>
      </c>
      <c r="AJ9" s="50">
        <f t="shared" si="91"/>
        <v>13843.657448908958</v>
      </c>
      <c r="AK9" s="50">
        <f t="shared" si="92"/>
        <v>17996.754683581647</v>
      </c>
      <c r="AL9" s="348">
        <f t="shared" si="143"/>
        <v>2408280</v>
      </c>
      <c r="AM9" s="354">
        <f t="shared" si="93"/>
        <v>220.53281249999995</v>
      </c>
      <c r="AN9" s="348">
        <f t="shared" si="94"/>
        <v>8400.2151694459408</v>
      </c>
      <c r="AO9" s="348">
        <f t="shared" si="95"/>
        <v>10920.279720279723</v>
      </c>
      <c r="AP9" s="7"/>
      <c r="AQ9" s="349">
        <f t="shared" si="96"/>
        <v>1.3</v>
      </c>
      <c r="AR9" s="50">
        <f t="shared" si="45"/>
        <v>2408280</v>
      </c>
      <c r="AS9" s="51">
        <f t="shared" si="46"/>
        <v>220.53281249999995</v>
      </c>
      <c r="AT9" s="348">
        <f t="shared" si="47"/>
        <v>8400.2151694459408</v>
      </c>
      <c r="AU9" s="348">
        <f t="shared" si="48"/>
        <v>10920.279720279723</v>
      </c>
      <c r="AV9" s="350">
        <f t="shared" si="49"/>
        <v>2408280</v>
      </c>
      <c r="AW9" s="349">
        <f t="shared" si="50"/>
        <v>220.53281249999995</v>
      </c>
      <c r="AX9" s="348">
        <f t="shared" si="51"/>
        <v>8000</v>
      </c>
      <c r="AY9" s="348">
        <f t="shared" si="52"/>
        <v>10400</v>
      </c>
      <c r="AZ9" s="7"/>
      <c r="BA9" s="24">
        <f t="shared" si="144"/>
        <v>4</v>
      </c>
      <c r="BB9" s="66">
        <f>IF(VLOOKUP($FW$29,SOURCE!$AH$5:$AJ$50,3,FALSE)="CFM56-5B",SOURCE!BB8,SOURCE!BG8)</f>
        <v>20000</v>
      </c>
      <c r="BC9" s="66">
        <f>IF(VLOOKUP($FW$29,SOURCE!$AH$5:$AJ$50,3,FALSE)="CFM56-5B",SOURCE!BC8,SOURCE!BH8)</f>
        <v>57450</v>
      </c>
      <c r="BD9" s="31">
        <f t="shared" si="97"/>
        <v>2.87</v>
      </c>
      <c r="BE9" s="13"/>
      <c r="BF9" s="13"/>
      <c r="BG9" s="66">
        <f t="shared" si="98"/>
        <v>57450</v>
      </c>
      <c r="BH9" s="66">
        <f t="shared" si="99"/>
        <v>21525</v>
      </c>
      <c r="BI9" s="66">
        <f>IF(BA9="","",IF(BG9="",BB9-$BE$6,BB9))</f>
        <v>20000</v>
      </c>
      <c r="BJ9" s="13"/>
      <c r="BK9" s="13"/>
      <c r="BL9" s="66" t="str">
        <f t="shared" si="100"/>
        <v/>
      </c>
      <c r="BM9" s="66" t="str">
        <f>IF(OR(BA9="",BL9=""),"",(BD9*(BI9-$BJ$6)))</f>
        <v/>
      </c>
      <c r="BN9" s="66">
        <f t="shared" si="102"/>
        <v>12000</v>
      </c>
      <c r="BO9" s="66">
        <f t="shared" si="103"/>
        <v>57450</v>
      </c>
      <c r="BP9" s="66">
        <f t="shared" si="53"/>
        <v>11490</v>
      </c>
      <c r="BQ9" s="66">
        <f t="shared" si="104"/>
        <v>20000</v>
      </c>
      <c r="BR9" s="66" t="str">
        <f t="shared" si="105"/>
        <v/>
      </c>
      <c r="BS9" s="66" t="str">
        <f t="shared" si="106"/>
        <v/>
      </c>
      <c r="BT9" s="66">
        <f t="shared" si="54"/>
        <v>12000</v>
      </c>
      <c r="BU9" s="66">
        <f t="shared" si="107"/>
        <v>57450</v>
      </c>
      <c r="BV9" s="66">
        <f t="shared" si="108"/>
        <v>11490</v>
      </c>
      <c r="BW9" s="66">
        <f t="shared" si="55"/>
        <v>20000</v>
      </c>
      <c r="BX9" s="66" t="str">
        <f t="shared" si="109"/>
        <v/>
      </c>
      <c r="BY9" s="66" t="str">
        <f t="shared" si="56"/>
        <v/>
      </c>
      <c r="BZ9" s="66">
        <f t="shared" si="57"/>
        <v>12000</v>
      </c>
      <c r="CA9" s="66">
        <f t="shared" si="110"/>
        <v>57450</v>
      </c>
      <c r="CB9" s="66">
        <f t="shared" si="58"/>
        <v>11490</v>
      </c>
      <c r="CC9" s="66">
        <f t="shared" si="59"/>
        <v>20000</v>
      </c>
      <c r="CD9" s="66" t="str">
        <f t="shared" si="145"/>
        <v/>
      </c>
      <c r="CE9" s="66" t="str">
        <f t="shared" si="60"/>
        <v/>
      </c>
      <c r="CF9" s="66">
        <f t="shared" si="61"/>
        <v>12000</v>
      </c>
      <c r="CG9" s="66">
        <f t="shared" si="111"/>
        <v>57450</v>
      </c>
      <c r="CH9" s="66">
        <f t="shared" si="62"/>
        <v>11490</v>
      </c>
      <c r="CI9" s="66">
        <f t="shared" si="63"/>
        <v>20000</v>
      </c>
      <c r="CJ9" s="66" t="str">
        <f t="shared" si="112"/>
        <v/>
      </c>
      <c r="CK9" s="66" t="str">
        <f t="shared" si="113"/>
        <v/>
      </c>
      <c r="CL9" s="66">
        <f t="shared" si="64"/>
        <v>12000</v>
      </c>
      <c r="CM9" s="66">
        <f t="shared" si="114"/>
        <v>57450</v>
      </c>
      <c r="CN9" s="66">
        <f t="shared" si="115"/>
        <v>11490</v>
      </c>
      <c r="CO9" s="66">
        <f t="shared" si="116"/>
        <v>20000</v>
      </c>
      <c r="CP9" s="66" t="str">
        <f t="shared" si="117"/>
        <v/>
      </c>
      <c r="CQ9" s="66" t="str">
        <f t="shared" si="118"/>
        <v/>
      </c>
      <c r="CR9" s="66">
        <f t="shared" si="119"/>
        <v>12000</v>
      </c>
      <c r="CS9" s="66">
        <f t="shared" si="120"/>
        <v>57450</v>
      </c>
      <c r="CT9" s="66">
        <f t="shared" si="121"/>
        <v>11490</v>
      </c>
      <c r="CU9" s="66">
        <f t="shared" si="122"/>
        <v>20000</v>
      </c>
      <c r="CV9" s="66" t="str">
        <f t="shared" si="123"/>
        <v/>
      </c>
      <c r="CW9" s="66" t="str">
        <f t="shared" si="124"/>
        <v/>
      </c>
      <c r="CX9" s="66">
        <f t="shared" si="125"/>
        <v>12000</v>
      </c>
      <c r="CY9" s="66">
        <f t="shared" si="126"/>
        <v>57450</v>
      </c>
      <c r="CZ9" s="66">
        <f t="shared" si="127"/>
        <v>11490</v>
      </c>
      <c r="DA9" s="66">
        <f t="shared" si="128"/>
        <v>20000</v>
      </c>
      <c r="DB9" s="9"/>
      <c r="DC9" s="13" t="s">
        <v>68</v>
      </c>
      <c r="DD9" s="13"/>
      <c r="DE9" s="75" t="str">
        <f>SOURCE!C12</f>
        <v>12Y SI</v>
      </c>
      <c r="DF9" s="66">
        <f>VLOOKUP($FU$29&amp;DE9,SOURCE!$D$5:$O$38,5,FALSE)</f>
        <v>902280</v>
      </c>
      <c r="DG9" s="13"/>
      <c r="DH9" s="13"/>
      <c r="DI9" s="66">
        <f>SOURCE!E10</f>
        <v>144</v>
      </c>
      <c r="DJ9" s="66">
        <f>IF(DF9="","",DF9/DI9)</f>
        <v>6265.833333333333</v>
      </c>
      <c r="DK9" s="31">
        <f>DJ9/$GA$4</f>
        <v>21.482857142857139</v>
      </c>
      <c r="DM9" s="44">
        <f t="shared" si="129"/>
        <v>3</v>
      </c>
      <c r="DN9" s="41">
        <f t="shared" si="65"/>
        <v>12272520</v>
      </c>
      <c r="DO9" s="41">
        <f t="shared" si="130"/>
        <v>122596.73076923078</v>
      </c>
      <c r="DP9" s="42">
        <f t="shared" si="66"/>
        <v>0</v>
      </c>
      <c r="DQ9" s="42">
        <f t="shared" si="67"/>
        <v>0</v>
      </c>
      <c r="DR9" s="42">
        <f t="shared" si="68"/>
        <v>0</v>
      </c>
      <c r="DS9" s="42">
        <f t="shared" si="69"/>
        <v>0</v>
      </c>
      <c r="DT9" s="42">
        <f t="shared" si="70"/>
        <v>0</v>
      </c>
      <c r="DU9" s="42">
        <f t="shared" si="71"/>
        <v>0</v>
      </c>
      <c r="DV9" s="42">
        <f t="shared" si="72"/>
        <v>0</v>
      </c>
      <c r="DW9" s="42">
        <f t="shared" si="73"/>
        <v>0</v>
      </c>
      <c r="DX9" s="42">
        <f t="shared" si="74"/>
        <v>367790.19230769202</v>
      </c>
      <c r="DY9" s="42">
        <f>IF(DM9="",DY8,DN9-SUM($DO$6:DO9)+SUM($DP$6:DV9)-SUM($DW$6:DW9))</f>
        <v>11904729.807692308</v>
      </c>
      <c r="DZ9" s="43">
        <f t="shared" si="131"/>
        <v>0.97003140412012434</v>
      </c>
      <c r="EA9" s="7"/>
      <c r="EB9" s="43" t="str">
        <f t="shared" si="146"/>
        <v>True</v>
      </c>
      <c r="EC9" s="41">
        <f t="shared" si="132"/>
        <v>185400</v>
      </c>
      <c r="ED9" s="41">
        <f t="shared" si="133"/>
        <v>606690</v>
      </c>
      <c r="EE9" s="41">
        <f t="shared" si="75"/>
        <v>902280</v>
      </c>
      <c r="EF9" s="41">
        <f t="shared" si="147"/>
        <v>10300</v>
      </c>
      <c r="EG9" s="42">
        <f t="shared" si="134"/>
        <v>8426.25</v>
      </c>
      <c r="EH9" s="42">
        <f t="shared" si="135"/>
        <v>6265.8333333333321</v>
      </c>
      <c r="EI9" s="42">
        <f t="shared" si="76"/>
        <v>30900</v>
      </c>
      <c r="EJ9" s="42">
        <f t="shared" si="136"/>
        <v>25279</v>
      </c>
      <c r="EK9" s="42">
        <f t="shared" si="77"/>
        <v>18798</v>
      </c>
      <c r="EL9" s="42">
        <f>IF(DM9="","",EC9-SUM($EF$6:EF9)+SUM($DP$6:DP9))</f>
        <v>154500</v>
      </c>
      <c r="EM9" s="42">
        <f>IF(DM9="","",ED9-SUM($EG$6:EG9)+SUM($DQ$6:DQ9))</f>
        <v>581411.25</v>
      </c>
      <c r="EN9" s="42">
        <f>IF(DM9="","",EE9-SUM($EH$6:EH9)+SUM($DR$6:DR9))</f>
        <v>883482.5</v>
      </c>
      <c r="EO9" s="152">
        <f t="shared" si="148"/>
        <v>0.95574977720332632</v>
      </c>
      <c r="EP9" s="43"/>
      <c r="EQ9" s="42">
        <f t="shared" si="78"/>
        <v>448050</v>
      </c>
      <c r="ER9" s="42">
        <f t="shared" si="79"/>
        <v>248100</v>
      </c>
      <c r="ES9" s="42">
        <f t="shared" si="137"/>
        <v>3733.75</v>
      </c>
      <c r="ET9" s="42">
        <f t="shared" si="138"/>
        <v>6122.9807692307695</v>
      </c>
      <c r="EU9" s="42">
        <f t="shared" si="80"/>
        <v>11201</v>
      </c>
      <c r="EV9" s="42">
        <f t="shared" si="81"/>
        <v>18369</v>
      </c>
      <c r="EW9" s="42">
        <f>IF(DM9="","",IF(DS9&gt;0,DS9,EQ9-SUM($ES$6:ES9)+SUM($DS$6:DS9)))</f>
        <v>436848.75</v>
      </c>
      <c r="EX9" s="42">
        <f>IF(DM9="","",IF(DT9&gt;0,DT9,ER9-SUM($ET$6:ET9)+SUM($DT$6:DT9)))</f>
        <v>229731.05769230769</v>
      </c>
      <c r="EY9" s="43">
        <f t="shared" si="82"/>
        <v>0.92596153846153839</v>
      </c>
      <c r="EZ9" s="43">
        <f t="shared" si="83"/>
        <v>0.97499999999999998</v>
      </c>
      <c r="FA9" s="43"/>
      <c r="FB9" s="42">
        <f t="shared" si="84"/>
        <v>4700000</v>
      </c>
      <c r="FC9" s="42">
        <f t="shared" si="85"/>
        <v>5182000</v>
      </c>
      <c r="FD9" s="41">
        <f t="shared" si="139"/>
        <v>54833.333333333336</v>
      </c>
      <c r="FE9" s="41">
        <f t="shared" si="140"/>
        <v>32914.583333333336</v>
      </c>
      <c r="FF9" s="42">
        <f t="shared" si="86"/>
        <v>164500</v>
      </c>
      <c r="FG9" s="42">
        <f t="shared" si="87"/>
        <v>98744</v>
      </c>
      <c r="FH9" s="42">
        <f>IF(DM9="","",IF(DU9&gt;0,DU9,FB9-SUM($FD$6:FD9)+SUM($DU$6:DU9)))</f>
        <v>4535500</v>
      </c>
      <c r="FI9" s="42">
        <f>IF(DM9="","",FC9-SUM($FE$6:FE9)+SUM($DV$6:DV9)-SUM($DW$6:DW9))</f>
        <v>5083256.25</v>
      </c>
      <c r="FJ9" s="152">
        <f t="shared" si="88"/>
        <v>0.97336128820076906</v>
      </c>
      <c r="FL9" s="5" t="s">
        <v>374</v>
      </c>
      <c r="FM9" s="14" t="str">
        <f t="shared" si="89"/>
        <v>CFM56-5B6/3</v>
      </c>
      <c r="FN9" s="14" t="s">
        <v>385</v>
      </c>
      <c r="FO9" s="14" t="s">
        <v>387</v>
      </c>
      <c r="FP9" s="14" t="s">
        <v>387</v>
      </c>
      <c r="FQ9" s="14" t="s">
        <v>399</v>
      </c>
      <c r="FR9" s="27">
        <v>1.3</v>
      </c>
      <c r="FS9" s="21">
        <v>0.03</v>
      </c>
      <c r="FT9" s="21"/>
      <c r="FU9" s="317" t="s">
        <v>478</v>
      </c>
      <c r="FV9" s="8"/>
      <c r="FW9" s="8">
        <v>96</v>
      </c>
      <c r="FX9" s="45"/>
      <c r="GC9" s="68">
        <f t="shared" si="26"/>
        <v>4</v>
      </c>
      <c r="GD9" s="78">
        <f t="shared" si="27"/>
        <v>0</v>
      </c>
      <c r="GE9" s="309">
        <f t="shared" si="28"/>
        <v>0.96004187216016568</v>
      </c>
      <c r="GF9" s="78">
        <f t="shared" si="29"/>
        <v>0</v>
      </c>
      <c r="GG9" s="310">
        <f t="shared" si="30"/>
        <v>0.94099970293776836</v>
      </c>
      <c r="GH9" s="78">
        <f t="shared" si="31"/>
        <v>0</v>
      </c>
      <c r="GI9" s="310">
        <f t="shared" si="32"/>
        <v>0.96666666666666667</v>
      </c>
      <c r="GJ9" s="311">
        <f t="shared" si="33"/>
        <v>0</v>
      </c>
      <c r="GK9" s="310">
        <f t="shared" si="34"/>
        <v>0.9012820512820513</v>
      </c>
      <c r="GL9" s="311">
        <f t="shared" si="35"/>
        <v>0</v>
      </c>
      <c r="GM9" s="310">
        <f t="shared" si="36"/>
        <v>0.96448171760102552</v>
      </c>
      <c r="GO9" s="266" t="s">
        <v>68</v>
      </c>
      <c r="GP9" s="266" t="s">
        <v>461</v>
      </c>
      <c r="GQ9" s="14">
        <f>IF(GS9="","",COUNT($GS$4:GS9))</f>
        <v>6</v>
      </c>
      <c r="GR9" s="24" t="str">
        <f t="shared" si="37"/>
        <v>6C-Check</v>
      </c>
      <c r="GS9" s="14">
        <f t="shared" si="38"/>
        <v>108</v>
      </c>
      <c r="GU9" s="263">
        <f>IF(GS9="","",$DF$18)</f>
        <v>264480</v>
      </c>
      <c r="GV9" s="13"/>
      <c r="GW9" s="13"/>
      <c r="GX9" s="13"/>
      <c r="GY9" s="14"/>
      <c r="GZ9" s="13"/>
      <c r="HA9" s="14">
        <f>IF(HC9="","",_xlfn.RANK.EQ(HC9,$HC$4:$HC$44,1)+COUNTIF($HC$4:$HC$44,HC9)-COUNTIF($HC$4:HC9,HC9))</f>
        <v>10</v>
      </c>
      <c r="HB9" s="24">
        <f t="shared" si="39"/>
        <v>6</v>
      </c>
      <c r="HC9" s="14">
        <f t="shared" si="0"/>
        <v>108</v>
      </c>
      <c r="HD9" s="24" t="str">
        <f t="shared" si="40"/>
        <v>Airframe</v>
      </c>
      <c r="HE9" s="13" t="str">
        <f t="shared" si="1"/>
        <v>6C-Check</v>
      </c>
      <c r="HF9" s="13" t="str">
        <f t="shared" si="2"/>
        <v>6       Airframe  6C-Check</v>
      </c>
      <c r="HG9" s="13"/>
      <c r="HH9" s="24" t="str">
        <f t="shared" si="3"/>
        <v/>
      </c>
      <c r="HI9" s="66">
        <f t="shared" si="4"/>
        <v>264480</v>
      </c>
      <c r="HJ9" s="82" t="str">
        <f t="shared" si="5"/>
        <v/>
      </c>
      <c r="HK9" s="66" t="str">
        <f t="shared" si="6"/>
        <v/>
      </c>
      <c r="HL9" s="66" t="str">
        <f t="shared" si="7"/>
        <v/>
      </c>
      <c r="HM9" s="66" t="str">
        <f t="shared" si="8"/>
        <v/>
      </c>
      <c r="HN9" s="24">
        <f t="shared" si="141"/>
        <v>6</v>
      </c>
      <c r="HO9" s="14">
        <f t="shared" si="9"/>
        <v>72</v>
      </c>
      <c r="HP9" s="24" t="str">
        <f t="shared" si="10"/>
        <v>Airframe</v>
      </c>
      <c r="HQ9" s="24" t="str">
        <f t="shared" si="11"/>
        <v>4C-Check</v>
      </c>
      <c r="HR9" s="13" t="str">
        <f t="shared" si="41"/>
        <v>6       Airframe  4C-Check</v>
      </c>
      <c r="HT9" s="13" t="str">
        <f t="shared" si="12"/>
        <v/>
      </c>
      <c r="HU9" s="75">
        <f t="shared" si="13"/>
        <v>220400</v>
      </c>
      <c r="HV9" s="75" t="str">
        <f t="shared" si="42"/>
        <v/>
      </c>
      <c r="HW9" s="75" t="str">
        <f t="shared" si="14"/>
        <v/>
      </c>
      <c r="HX9" s="75" t="str">
        <f t="shared" si="15"/>
        <v/>
      </c>
      <c r="HY9" s="66" t="str">
        <f t="shared" si="16"/>
        <v/>
      </c>
      <c r="HZ9" s="151" t="str">
        <f t="shared" si="17"/>
        <v>Airframe</v>
      </c>
      <c r="IA9" s="151" t="str">
        <f t="shared" si="18"/>
        <v>6       Airframe  6C-Check</v>
      </c>
      <c r="IB9" s="151"/>
      <c r="IC9" s="149">
        <f t="shared" si="19"/>
        <v>108</v>
      </c>
      <c r="ID9" s="151" t="str">
        <f t="shared" si="20"/>
        <v/>
      </c>
      <c r="IE9" s="33">
        <f t="shared" si="21"/>
        <v>264480</v>
      </c>
      <c r="IF9" s="33" t="str">
        <f t="shared" si="22"/>
        <v/>
      </c>
      <c r="IG9" s="33" t="str">
        <f t="shared" si="23"/>
        <v/>
      </c>
      <c r="IH9" s="33" t="str">
        <f t="shared" si="24"/>
        <v/>
      </c>
      <c r="II9" s="33" t="str">
        <f t="shared" si="25"/>
        <v/>
      </c>
    </row>
    <row r="10" spans="1:251" x14ac:dyDescent="0.2">
      <c r="A10" s="9"/>
      <c r="B10" s="419"/>
      <c r="C10" s="420" t="s">
        <v>486</v>
      </c>
      <c r="D10" s="421"/>
      <c r="E10" s="421"/>
      <c r="F10" s="421"/>
      <c r="G10" s="421"/>
      <c r="H10" s="421"/>
      <c r="I10" s="421"/>
      <c r="J10" s="421"/>
      <c r="K10" s="421"/>
      <c r="L10" s="421"/>
      <c r="M10" s="421"/>
      <c r="N10" s="421"/>
      <c r="O10" s="421"/>
      <c r="P10" s="421"/>
      <c r="Q10" s="421"/>
      <c r="R10" s="421"/>
      <c r="S10" s="421"/>
      <c r="T10" s="421"/>
      <c r="U10" s="421"/>
      <c r="V10" s="421"/>
      <c r="W10" s="421"/>
      <c r="X10" s="421"/>
      <c r="Y10" s="422"/>
      <c r="AB10" s="23">
        <f t="shared" si="142"/>
        <v>4000</v>
      </c>
      <c r="AC10" s="20">
        <v>1.4</v>
      </c>
      <c r="AD10" s="18">
        <f>(AD9-($AD$6-$AD$11)/5)</f>
        <v>1.2604000000000002</v>
      </c>
      <c r="AE10" s="18">
        <f>AE9-($AE$6-$AE$11)/5</f>
        <v>0.97799999999999998</v>
      </c>
      <c r="AF10" s="18">
        <f>AF9-($AF$6-$AF$11)/5</f>
        <v>1.3399999999999996</v>
      </c>
      <c r="AG10" s="18">
        <f>AG9-($AG$6-$AG$11)/5</f>
        <v>0.97799999999999998</v>
      </c>
      <c r="AH10" s="50">
        <f t="shared" si="43"/>
        <v>2298300</v>
      </c>
      <c r="AI10" s="51">
        <f t="shared" si="90"/>
        <v>118.47760000000002</v>
      </c>
      <c r="AJ10" s="50">
        <f t="shared" si="91"/>
        <v>13856.145441356484</v>
      </c>
      <c r="AK10" s="348">
        <f t="shared" si="92"/>
        <v>19398.603617899076</v>
      </c>
      <c r="AL10" s="348">
        <f t="shared" si="143"/>
        <v>2413215</v>
      </c>
      <c r="AM10" s="354">
        <f t="shared" si="93"/>
        <v>206.65312499999993</v>
      </c>
      <c r="AN10" s="348">
        <f t="shared" si="94"/>
        <v>8341.1513859275092</v>
      </c>
      <c r="AO10" s="348">
        <f t="shared" si="95"/>
        <v>11677.611940298511</v>
      </c>
      <c r="AP10" s="7"/>
      <c r="AQ10" s="349">
        <f t="shared" si="96"/>
        <v>1.4</v>
      </c>
      <c r="AR10" s="50">
        <f t="shared" si="45"/>
        <v>2413215</v>
      </c>
      <c r="AS10" s="51">
        <f t="shared" si="46"/>
        <v>206.65312499999993</v>
      </c>
      <c r="AT10" s="348">
        <f t="shared" si="47"/>
        <v>8341.1513859275092</v>
      </c>
      <c r="AU10" s="348">
        <f t="shared" si="48"/>
        <v>11677.611940298511</v>
      </c>
      <c r="AV10" s="350">
        <f t="shared" si="49"/>
        <v>2413215</v>
      </c>
      <c r="AW10" s="349">
        <f t="shared" si="50"/>
        <v>206.65312499999993</v>
      </c>
      <c r="AX10" s="348">
        <f t="shared" si="51"/>
        <v>8000</v>
      </c>
      <c r="AY10" s="348">
        <f t="shared" si="52"/>
        <v>11200</v>
      </c>
      <c r="AZ10" s="7"/>
      <c r="BA10" s="24">
        <f t="shared" si="144"/>
        <v>5</v>
      </c>
      <c r="BB10" s="66">
        <f>IF(VLOOKUP($FW$29,SOURCE!$AH$5:$AJ$50,3,FALSE)="CFM56-5B",SOURCE!BB9,SOURCE!BG9)</f>
        <v>20000</v>
      </c>
      <c r="BC10" s="66">
        <f>IF(VLOOKUP($FW$29,SOURCE!$AH$5:$AJ$50,3,FALSE)="CFM56-5B",SOURCE!BC9,SOURCE!BH9)</f>
        <v>94960</v>
      </c>
      <c r="BD10" s="31">
        <f t="shared" si="97"/>
        <v>4.75</v>
      </c>
      <c r="BE10" s="13"/>
      <c r="BF10" s="13"/>
      <c r="BG10" s="66">
        <f t="shared" si="98"/>
        <v>94960</v>
      </c>
      <c r="BH10" s="66">
        <f t="shared" si="99"/>
        <v>35625</v>
      </c>
      <c r="BI10" s="66">
        <f t="shared" ref="BI10:BI30" si="149">IF(BA10="","",IF(BG10="",BB10-$BE$6,BB10))</f>
        <v>20000</v>
      </c>
      <c r="BJ10" s="13"/>
      <c r="BK10" s="13"/>
      <c r="BL10" s="66" t="str">
        <f t="shared" si="100"/>
        <v/>
      </c>
      <c r="BM10" s="66" t="str">
        <f t="shared" si="101"/>
        <v/>
      </c>
      <c r="BN10" s="66">
        <f t="shared" si="102"/>
        <v>12000</v>
      </c>
      <c r="BO10" s="66">
        <f t="shared" si="103"/>
        <v>94960</v>
      </c>
      <c r="BP10" s="66">
        <f t="shared" si="53"/>
        <v>18992</v>
      </c>
      <c r="BQ10" s="66">
        <f t="shared" si="104"/>
        <v>20000</v>
      </c>
      <c r="BR10" s="66" t="str">
        <f t="shared" si="105"/>
        <v/>
      </c>
      <c r="BS10" s="66" t="str">
        <f t="shared" si="106"/>
        <v/>
      </c>
      <c r="BT10" s="66">
        <f t="shared" si="54"/>
        <v>12000</v>
      </c>
      <c r="BU10" s="66">
        <f t="shared" si="107"/>
        <v>94960</v>
      </c>
      <c r="BV10" s="66">
        <f t="shared" si="108"/>
        <v>18992</v>
      </c>
      <c r="BW10" s="66">
        <f t="shared" si="55"/>
        <v>20000</v>
      </c>
      <c r="BX10" s="66" t="str">
        <f t="shared" si="109"/>
        <v/>
      </c>
      <c r="BY10" s="66" t="str">
        <f t="shared" si="56"/>
        <v/>
      </c>
      <c r="BZ10" s="66">
        <f t="shared" si="57"/>
        <v>12000</v>
      </c>
      <c r="CA10" s="66">
        <f t="shared" si="110"/>
        <v>94960</v>
      </c>
      <c r="CB10" s="66">
        <f t="shared" si="58"/>
        <v>18992</v>
      </c>
      <c r="CC10" s="66">
        <f t="shared" si="59"/>
        <v>20000</v>
      </c>
      <c r="CD10" s="66" t="str">
        <f t="shared" si="145"/>
        <v/>
      </c>
      <c r="CE10" s="66" t="str">
        <f t="shared" si="60"/>
        <v/>
      </c>
      <c r="CF10" s="66">
        <f t="shared" si="61"/>
        <v>12000</v>
      </c>
      <c r="CG10" s="66">
        <f t="shared" si="111"/>
        <v>94960</v>
      </c>
      <c r="CH10" s="66">
        <f t="shared" si="62"/>
        <v>18992</v>
      </c>
      <c r="CI10" s="66">
        <f t="shared" si="63"/>
        <v>20000</v>
      </c>
      <c r="CJ10" s="66" t="str">
        <f t="shared" si="112"/>
        <v/>
      </c>
      <c r="CK10" s="66" t="str">
        <f t="shared" si="113"/>
        <v/>
      </c>
      <c r="CL10" s="66">
        <f t="shared" si="64"/>
        <v>12000</v>
      </c>
      <c r="CM10" s="66">
        <f t="shared" si="114"/>
        <v>94960</v>
      </c>
      <c r="CN10" s="66">
        <f t="shared" si="115"/>
        <v>18992</v>
      </c>
      <c r="CO10" s="66">
        <f t="shared" si="116"/>
        <v>20000</v>
      </c>
      <c r="CP10" s="66" t="str">
        <f t="shared" si="117"/>
        <v/>
      </c>
      <c r="CQ10" s="66" t="str">
        <f t="shared" si="118"/>
        <v/>
      </c>
      <c r="CR10" s="66">
        <f t="shared" si="119"/>
        <v>12000</v>
      </c>
      <c r="CS10" s="66">
        <f t="shared" si="120"/>
        <v>94960</v>
      </c>
      <c r="CT10" s="66">
        <f t="shared" si="121"/>
        <v>18992</v>
      </c>
      <c r="CU10" s="66">
        <f t="shared" si="122"/>
        <v>20000</v>
      </c>
      <c r="CV10" s="66" t="str">
        <f t="shared" si="123"/>
        <v/>
      </c>
      <c r="CW10" s="66" t="str">
        <f t="shared" si="124"/>
        <v/>
      </c>
      <c r="CX10" s="66">
        <f t="shared" si="125"/>
        <v>12000</v>
      </c>
      <c r="CY10" s="66">
        <f t="shared" si="126"/>
        <v>94960</v>
      </c>
      <c r="CZ10" s="66">
        <f t="shared" si="127"/>
        <v>18992</v>
      </c>
      <c r="DA10" s="66">
        <f t="shared" si="128"/>
        <v>20000</v>
      </c>
      <c r="DB10" s="9"/>
      <c r="DC10" s="13" t="s">
        <v>65</v>
      </c>
      <c r="DD10" s="13"/>
      <c r="DE10" s="13" t="s">
        <v>133</v>
      </c>
      <c r="DF10" s="66">
        <f>SOURCE!AE5+SOURCE!AE6</f>
        <v>448050</v>
      </c>
      <c r="DG10" s="13"/>
      <c r="DH10" s="66">
        <f>SOURCE!AA5</f>
        <v>20000</v>
      </c>
      <c r="DI10" s="14">
        <f>IF(ROUND((DH10/$GA$5),0)&gt;=SOURCE!Y5,SOURCE!Y5,ROUND((DH10/GA5),0))</f>
        <v>120</v>
      </c>
      <c r="DJ10" s="66">
        <f>DF10/DI10</f>
        <v>3733.75</v>
      </c>
      <c r="DK10" s="31">
        <f>DJ10/$GA$4</f>
        <v>12.80142857142857</v>
      </c>
      <c r="DL10" s="66"/>
      <c r="DM10" s="44">
        <f t="shared" si="129"/>
        <v>4</v>
      </c>
      <c r="DN10" s="41">
        <f t="shared" si="65"/>
        <v>12272520</v>
      </c>
      <c r="DO10" s="41">
        <f t="shared" si="130"/>
        <v>122596.73076923078</v>
      </c>
      <c r="DP10" s="42">
        <f t="shared" si="66"/>
        <v>0</v>
      </c>
      <c r="DQ10" s="42">
        <f t="shared" si="67"/>
        <v>0</v>
      </c>
      <c r="DR10" s="42">
        <f t="shared" si="68"/>
        <v>0</v>
      </c>
      <c r="DS10" s="42">
        <f t="shared" si="69"/>
        <v>0</v>
      </c>
      <c r="DT10" s="42">
        <f t="shared" si="70"/>
        <v>0</v>
      </c>
      <c r="DU10" s="42">
        <f t="shared" si="71"/>
        <v>0</v>
      </c>
      <c r="DV10" s="42">
        <f t="shared" si="72"/>
        <v>0</v>
      </c>
      <c r="DW10" s="42">
        <f t="shared" si="73"/>
        <v>0</v>
      </c>
      <c r="DX10" s="42">
        <f t="shared" si="74"/>
        <v>490386.92307692394</v>
      </c>
      <c r="DY10" s="42">
        <f>IF(DM10="",DY9,DN10-SUM($DO$6:DO10)+SUM($DP$6:DV10)-SUM($DW$6:DW10))</f>
        <v>11782133.076923076</v>
      </c>
      <c r="DZ10" s="43">
        <f t="shared" si="131"/>
        <v>0.96004187216016568</v>
      </c>
      <c r="EA10" s="43"/>
      <c r="EB10" s="43" t="str">
        <f t="shared" si="146"/>
        <v>True</v>
      </c>
      <c r="EC10" s="41">
        <f t="shared" si="132"/>
        <v>185400</v>
      </c>
      <c r="ED10" s="41">
        <f t="shared" si="133"/>
        <v>606690</v>
      </c>
      <c r="EE10" s="41">
        <f t="shared" si="75"/>
        <v>902280</v>
      </c>
      <c r="EF10" s="41">
        <f t="shared" si="147"/>
        <v>10300</v>
      </c>
      <c r="EG10" s="42">
        <f t="shared" si="134"/>
        <v>8426.25</v>
      </c>
      <c r="EH10" s="42">
        <f t="shared" si="135"/>
        <v>6265.8333333333321</v>
      </c>
      <c r="EI10" s="42">
        <f t="shared" si="76"/>
        <v>41200</v>
      </c>
      <c r="EJ10" s="42">
        <f t="shared" si="136"/>
        <v>33705</v>
      </c>
      <c r="EK10" s="42">
        <f t="shared" si="77"/>
        <v>25063</v>
      </c>
      <c r="EL10" s="42">
        <f>IF(DM10="","",EC10-SUM($EF$6:EF10)+SUM($DP$6:DP10))</f>
        <v>144200</v>
      </c>
      <c r="EM10" s="42">
        <f>IF(DM10="","",ED10-SUM($EG$6:EG10)+SUM($DQ$6:DQ10))</f>
        <v>572985</v>
      </c>
      <c r="EN10" s="42">
        <f>IF(DM10="","",EE10-SUM($EH$6:EH10)+SUM($DR$6:DR10))</f>
        <v>877216.66666666663</v>
      </c>
      <c r="EO10" s="152">
        <f t="shared" si="148"/>
        <v>0.94099970293776836</v>
      </c>
      <c r="EP10" s="43"/>
      <c r="EQ10" s="42">
        <f t="shared" si="78"/>
        <v>448050</v>
      </c>
      <c r="ER10" s="42">
        <f t="shared" si="79"/>
        <v>248100</v>
      </c>
      <c r="ES10" s="42">
        <f t="shared" si="137"/>
        <v>3733.75</v>
      </c>
      <c r="ET10" s="42">
        <f t="shared" si="138"/>
        <v>6122.9807692307695</v>
      </c>
      <c r="EU10" s="42">
        <f t="shared" si="80"/>
        <v>14935</v>
      </c>
      <c r="EV10" s="42">
        <f t="shared" si="81"/>
        <v>24492</v>
      </c>
      <c r="EW10" s="42">
        <f>IF(DM10="","",IF(DS10&gt;0,DS10,EQ10-SUM($ES$6:ES10)+SUM($DS$6:DS10)))</f>
        <v>433115</v>
      </c>
      <c r="EX10" s="42">
        <f>IF(DM10="","",IF(DT10&gt;0,DT10,ER10-SUM($ET$6:ET10)+SUM($DT$6:DT10)))</f>
        <v>223608.07692307694</v>
      </c>
      <c r="EY10" s="43">
        <f t="shared" si="82"/>
        <v>0.9012820512820513</v>
      </c>
      <c r="EZ10" s="43">
        <f t="shared" si="83"/>
        <v>0.96666666666666667</v>
      </c>
      <c r="FA10" s="43"/>
      <c r="FB10" s="42">
        <f t="shared" si="84"/>
        <v>4700000</v>
      </c>
      <c r="FC10" s="42">
        <f t="shared" si="85"/>
        <v>5182000</v>
      </c>
      <c r="FD10" s="41">
        <f t="shared" si="139"/>
        <v>54833.333333333336</v>
      </c>
      <c r="FE10" s="41">
        <f t="shared" si="140"/>
        <v>32914.583333333336</v>
      </c>
      <c r="FF10" s="42">
        <f t="shared" si="86"/>
        <v>219333</v>
      </c>
      <c r="FG10" s="42">
        <f t="shared" si="87"/>
        <v>131658</v>
      </c>
      <c r="FH10" s="42">
        <f>IF(DM10="","",IF(DU10&gt;0,DU10,FB10-SUM($FD$6:FD10)+SUM($DU$6:DU10)))</f>
        <v>4480666.666666667</v>
      </c>
      <c r="FI10" s="42">
        <f>IF(DM10="","",FC10-SUM($FE$6:FE10)+SUM($DV$6:DV10)-SUM($DW$6:DW10))</f>
        <v>5050341.666666667</v>
      </c>
      <c r="FJ10" s="152">
        <f t="shared" si="88"/>
        <v>0.96448171760102552</v>
      </c>
      <c r="FL10" s="14"/>
      <c r="FM10" s="14" t="str">
        <f t="shared" si="89"/>
        <v>V2524-A5</v>
      </c>
      <c r="FN10" s="14" t="str">
        <f>""</f>
        <v/>
      </c>
      <c r="FO10" s="14" t="s">
        <v>394</v>
      </c>
      <c r="FP10" s="14" t="s">
        <v>390</v>
      </c>
      <c r="FQ10" s="14" t="s">
        <v>400</v>
      </c>
      <c r="FR10" s="27">
        <v>1.4</v>
      </c>
      <c r="FS10" s="21">
        <v>0.04</v>
      </c>
      <c r="FT10" s="21"/>
      <c r="FU10" s="317" t="s">
        <v>369</v>
      </c>
      <c r="FV10" s="8"/>
      <c r="FW10" s="8">
        <v>108</v>
      </c>
      <c r="FX10" s="129"/>
      <c r="FY10" s="129"/>
      <c r="GC10" s="68">
        <f t="shared" si="26"/>
        <v>5</v>
      </c>
      <c r="GD10" s="78">
        <f t="shared" si="27"/>
        <v>0</v>
      </c>
      <c r="GE10" s="309">
        <f t="shared" si="28"/>
        <v>0.95005234020020712</v>
      </c>
      <c r="GF10" s="78">
        <f t="shared" si="29"/>
        <v>0</v>
      </c>
      <c r="GG10" s="310">
        <f t="shared" si="30"/>
        <v>0.92624962867221061</v>
      </c>
      <c r="GH10" s="78">
        <f t="shared" si="31"/>
        <v>0</v>
      </c>
      <c r="GI10" s="310">
        <f t="shared" si="32"/>
        <v>0.95833333333333337</v>
      </c>
      <c r="GJ10" s="311">
        <f t="shared" si="33"/>
        <v>0</v>
      </c>
      <c r="GK10" s="310">
        <f t="shared" si="34"/>
        <v>0.8766025641025641</v>
      </c>
      <c r="GL10" s="311">
        <f t="shared" si="35"/>
        <v>0</v>
      </c>
      <c r="GM10" s="310">
        <f t="shared" si="36"/>
        <v>0.95560214700128177</v>
      </c>
      <c r="GO10" s="266" t="s">
        <v>68</v>
      </c>
      <c r="GP10" s="266" t="s">
        <v>462</v>
      </c>
      <c r="GQ10" s="14">
        <f>IF(GS10="","",COUNT($GS$4:GS10))</f>
        <v>7</v>
      </c>
      <c r="GR10" s="24" t="str">
        <f t="shared" si="37"/>
        <v>7C-Check</v>
      </c>
      <c r="GS10" s="14">
        <f t="shared" si="38"/>
        <v>126</v>
      </c>
      <c r="GU10" s="263">
        <f>IF(GS10="","",$DF$17)</f>
        <v>222480</v>
      </c>
      <c r="GV10" s="13"/>
      <c r="GW10" s="13"/>
      <c r="GX10" s="13"/>
      <c r="GY10" s="14"/>
      <c r="GZ10" s="13"/>
      <c r="HA10" s="14">
        <f>IF(HC10="","",_xlfn.RANK.EQ(HC10,$HC$4:$HC$44,1)+COUNTIF($HC$4:$HC$44,HC10)-COUNTIF($HC$4:HC10,HC10))</f>
        <v>13</v>
      </c>
      <c r="HB10" s="24">
        <f t="shared" si="39"/>
        <v>7</v>
      </c>
      <c r="HC10" s="14">
        <f t="shared" si="0"/>
        <v>126</v>
      </c>
      <c r="HD10" s="24" t="str">
        <f t="shared" si="40"/>
        <v>Airframe</v>
      </c>
      <c r="HE10" s="13" t="str">
        <f t="shared" si="1"/>
        <v>7C-Check</v>
      </c>
      <c r="HF10" s="13" t="str">
        <f t="shared" si="2"/>
        <v>7       Airframe  7C-Check</v>
      </c>
      <c r="HG10" s="13"/>
      <c r="HH10" s="24" t="str">
        <f t="shared" si="3"/>
        <v/>
      </c>
      <c r="HI10" s="66">
        <f t="shared" si="4"/>
        <v>222480</v>
      </c>
      <c r="HJ10" s="82" t="str">
        <f t="shared" si="5"/>
        <v/>
      </c>
      <c r="HK10" s="66" t="str">
        <f t="shared" si="6"/>
        <v/>
      </c>
      <c r="HL10" s="66" t="str">
        <f t="shared" si="7"/>
        <v/>
      </c>
      <c r="HM10" s="66" t="str">
        <f t="shared" si="8"/>
        <v/>
      </c>
      <c r="HN10" s="24">
        <f t="shared" si="141"/>
        <v>7</v>
      </c>
      <c r="HO10" s="14">
        <f t="shared" si="9"/>
        <v>82</v>
      </c>
      <c r="HP10" s="24" t="str">
        <f t="shared" si="10"/>
        <v>APU</v>
      </c>
      <c r="HQ10" s="24" t="str">
        <f t="shared" si="11"/>
        <v>SV</v>
      </c>
      <c r="HR10" s="13" t="str">
        <f t="shared" si="41"/>
        <v>7       APU  SV</v>
      </c>
      <c r="HT10" s="13" t="str">
        <f t="shared" si="12"/>
        <v/>
      </c>
      <c r="HU10" s="75">
        <f t="shared" si="13"/>
        <v>248100</v>
      </c>
      <c r="HV10" s="75" t="str">
        <f t="shared" si="42"/>
        <v/>
      </c>
      <c r="HW10" s="75" t="str">
        <f t="shared" si="14"/>
        <v/>
      </c>
      <c r="HX10" s="75" t="str">
        <f t="shared" si="15"/>
        <v/>
      </c>
      <c r="HY10" s="66" t="str">
        <f t="shared" si="16"/>
        <v/>
      </c>
      <c r="HZ10" s="151" t="str">
        <f t="shared" si="17"/>
        <v>Airframe</v>
      </c>
      <c r="IA10" s="151" t="str">
        <f t="shared" si="18"/>
        <v>7       Airframe  7C-Check</v>
      </c>
      <c r="IB10" s="151"/>
      <c r="IC10" s="149">
        <f t="shared" si="19"/>
        <v>126</v>
      </c>
      <c r="ID10" s="151" t="str">
        <f t="shared" si="20"/>
        <v/>
      </c>
      <c r="IE10" s="33">
        <f t="shared" si="21"/>
        <v>222480</v>
      </c>
      <c r="IF10" s="33" t="str">
        <f t="shared" si="22"/>
        <v/>
      </c>
      <c r="IG10" s="33" t="str">
        <f t="shared" si="23"/>
        <v/>
      </c>
      <c r="IH10" s="33" t="str">
        <f t="shared" si="24"/>
        <v/>
      </c>
      <c r="II10" s="33" t="str">
        <f t="shared" si="25"/>
        <v/>
      </c>
    </row>
    <row r="11" spans="1:251" x14ac:dyDescent="0.2">
      <c r="A11" s="9"/>
      <c r="B11" s="555"/>
      <c r="C11" s="306"/>
      <c r="D11" s="26"/>
      <c r="E11" s="26"/>
      <c r="F11" s="26"/>
      <c r="G11" s="26"/>
      <c r="H11" s="26"/>
      <c r="I11" s="26"/>
      <c r="J11" s="26"/>
      <c r="K11" s="26"/>
      <c r="L11" s="26"/>
      <c r="M11" s="26"/>
      <c r="N11" s="26"/>
      <c r="O11" s="26"/>
      <c r="P11" s="26"/>
      <c r="Q11" s="26"/>
      <c r="R11" s="26"/>
      <c r="S11" s="26"/>
      <c r="T11" s="26"/>
      <c r="U11" s="26"/>
      <c r="V11" s="26"/>
      <c r="W11" s="26"/>
      <c r="X11" s="26"/>
      <c r="Y11" s="229"/>
      <c r="AB11" s="23">
        <f t="shared" si="142"/>
        <v>4500</v>
      </c>
      <c r="AC11" s="136">
        <v>1.5</v>
      </c>
      <c r="AD11" s="137">
        <f>IF($FY$7="True",SOURCE!BL7,SOURCE!BP7)</f>
        <v>1.165</v>
      </c>
      <c r="AE11" s="137">
        <f>IF($FY$7="True",SOURCE!BM7,SOURCE!BQ7)</f>
        <v>0.98</v>
      </c>
      <c r="AF11" s="137">
        <f>IF($FY$7="True",SOURCE!BN7,SOURCE!BR7)</f>
        <v>1.25</v>
      </c>
      <c r="AG11" s="137">
        <f>IF($FY$7="True",SOURCE!BO7,SOURCE!BS7)</f>
        <v>0.98</v>
      </c>
      <c r="AH11" s="138">
        <f t="shared" si="43"/>
        <v>2303000</v>
      </c>
      <c r="AI11" s="136">
        <f t="shared" si="90"/>
        <v>109.51</v>
      </c>
      <c r="AJ11" s="138">
        <f t="shared" si="91"/>
        <v>14020.028612303291</v>
      </c>
      <c r="AK11" s="138">
        <f t="shared" si="92"/>
        <v>21030.042918454936</v>
      </c>
      <c r="AL11" s="138">
        <f t="shared" si="143"/>
        <v>2418150</v>
      </c>
      <c r="AM11" s="355">
        <f t="shared" si="93"/>
        <v>192.7734375</v>
      </c>
      <c r="AN11" s="138">
        <f t="shared" si="94"/>
        <v>8362.6666666666661</v>
      </c>
      <c r="AO11" s="138">
        <f t="shared" si="95"/>
        <v>12544</v>
      </c>
      <c r="AP11" s="151"/>
      <c r="AQ11" s="136">
        <f t="shared" si="96"/>
        <v>1.5</v>
      </c>
      <c r="AR11" s="138">
        <f t="shared" si="45"/>
        <v>2418150</v>
      </c>
      <c r="AS11" s="136">
        <f t="shared" si="46"/>
        <v>192.7734375</v>
      </c>
      <c r="AT11" s="138">
        <f t="shared" si="47"/>
        <v>8362.6666666666661</v>
      </c>
      <c r="AU11" s="138">
        <f t="shared" si="48"/>
        <v>12544</v>
      </c>
      <c r="AV11" s="33">
        <f t="shared" si="49"/>
        <v>2418150</v>
      </c>
      <c r="AW11" s="136">
        <f t="shared" si="50"/>
        <v>192.7734375</v>
      </c>
      <c r="AX11" s="138">
        <f t="shared" si="51"/>
        <v>8000</v>
      </c>
      <c r="AY11" s="138">
        <f t="shared" si="52"/>
        <v>12000</v>
      </c>
      <c r="AZ11" s="7"/>
      <c r="BA11" s="24">
        <f t="shared" si="144"/>
        <v>6</v>
      </c>
      <c r="BB11" s="66">
        <f>IF(VLOOKUP($FW$29,SOURCE!$AH$5:$AJ$50,3,FALSE)="CFM56-5B",SOURCE!BB10,SOURCE!BG10)</f>
        <v>20000</v>
      </c>
      <c r="BC11" s="66">
        <f>IF(VLOOKUP($FW$29,SOURCE!$AH$5:$AJ$50,3,FALSE)="CFM56-5B",SOURCE!BC10,SOURCE!BH10)</f>
        <v>135600</v>
      </c>
      <c r="BD11" s="31">
        <f t="shared" si="97"/>
        <v>6.78</v>
      </c>
      <c r="BE11" s="13"/>
      <c r="BF11" s="13"/>
      <c r="BG11" s="66">
        <f t="shared" si="98"/>
        <v>135600</v>
      </c>
      <c r="BH11" s="66">
        <f t="shared" si="99"/>
        <v>50850</v>
      </c>
      <c r="BI11" s="66">
        <f t="shared" si="149"/>
        <v>20000</v>
      </c>
      <c r="BJ11" s="13"/>
      <c r="BK11" s="13"/>
      <c r="BL11" s="66" t="str">
        <f t="shared" si="100"/>
        <v/>
      </c>
      <c r="BM11" s="66" t="str">
        <f t="shared" si="101"/>
        <v/>
      </c>
      <c r="BN11" s="66">
        <f t="shared" si="102"/>
        <v>12000</v>
      </c>
      <c r="BO11" s="66">
        <f t="shared" si="103"/>
        <v>135600</v>
      </c>
      <c r="BP11" s="66">
        <f t="shared" si="53"/>
        <v>27120</v>
      </c>
      <c r="BQ11" s="66">
        <f t="shared" si="104"/>
        <v>20000</v>
      </c>
      <c r="BR11" s="66" t="str">
        <f t="shared" si="105"/>
        <v/>
      </c>
      <c r="BS11" s="66" t="str">
        <f t="shared" si="106"/>
        <v/>
      </c>
      <c r="BT11" s="66">
        <f t="shared" si="54"/>
        <v>12000</v>
      </c>
      <c r="BU11" s="66">
        <f t="shared" si="107"/>
        <v>135600</v>
      </c>
      <c r="BV11" s="66">
        <f t="shared" si="108"/>
        <v>27120</v>
      </c>
      <c r="BW11" s="66">
        <f t="shared" si="55"/>
        <v>20000</v>
      </c>
      <c r="BX11" s="66" t="str">
        <f t="shared" si="109"/>
        <v/>
      </c>
      <c r="BY11" s="66" t="str">
        <f t="shared" si="56"/>
        <v/>
      </c>
      <c r="BZ11" s="66">
        <f t="shared" si="57"/>
        <v>12000</v>
      </c>
      <c r="CA11" s="66">
        <f t="shared" si="110"/>
        <v>135600</v>
      </c>
      <c r="CB11" s="66">
        <f t="shared" si="58"/>
        <v>27120</v>
      </c>
      <c r="CC11" s="66">
        <f t="shared" si="59"/>
        <v>20000</v>
      </c>
      <c r="CD11" s="66" t="str">
        <f t="shared" si="145"/>
        <v/>
      </c>
      <c r="CE11" s="66" t="str">
        <f t="shared" si="60"/>
        <v/>
      </c>
      <c r="CF11" s="66">
        <f t="shared" si="61"/>
        <v>12000</v>
      </c>
      <c r="CG11" s="66">
        <f t="shared" si="111"/>
        <v>135600</v>
      </c>
      <c r="CH11" s="66">
        <f t="shared" si="62"/>
        <v>27120</v>
      </c>
      <c r="CI11" s="66">
        <f t="shared" si="63"/>
        <v>20000</v>
      </c>
      <c r="CJ11" s="66" t="str">
        <f t="shared" si="112"/>
        <v/>
      </c>
      <c r="CK11" s="66" t="str">
        <f t="shared" si="113"/>
        <v/>
      </c>
      <c r="CL11" s="66">
        <f t="shared" si="64"/>
        <v>12000</v>
      </c>
      <c r="CM11" s="66">
        <f t="shared" si="114"/>
        <v>135600</v>
      </c>
      <c r="CN11" s="66">
        <f t="shared" si="115"/>
        <v>27120</v>
      </c>
      <c r="CO11" s="66">
        <f t="shared" si="116"/>
        <v>20000</v>
      </c>
      <c r="CP11" s="66" t="str">
        <f t="shared" si="117"/>
        <v/>
      </c>
      <c r="CQ11" s="66" t="str">
        <f t="shared" si="118"/>
        <v/>
      </c>
      <c r="CR11" s="66">
        <f t="shared" si="119"/>
        <v>12000</v>
      </c>
      <c r="CS11" s="66">
        <f t="shared" si="120"/>
        <v>135600</v>
      </c>
      <c r="CT11" s="66">
        <f t="shared" si="121"/>
        <v>27120</v>
      </c>
      <c r="CU11" s="66">
        <f t="shared" si="122"/>
        <v>20000</v>
      </c>
      <c r="CV11" s="66" t="str">
        <f t="shared" si="123"/>
        <v/>
      </c>
      <c r="CW11" s="66" t="str">
        <f t="shared" si="124"/>
        <v/>
      </c>
      <c r="CX11" s="66">
        <f t="shared" si="125"/>
        <v>12000</v>
      </c>
      <c r="CY11" s="66">
        <f t="shared" si="126"/>
        <v>135600</v>
      </c>
      <c r="CZ11" s="66">
        <f t="shared" si="127"/>
        <v>27120</v>
      </c>
      <c r="DA11" s="66">
        <f t="shared" si="128"/>
        <v>20000</v>
      </c>
      <c r="DB11" s="9"/>
      <c r="DC11" s="13" t="s">
        <v>66</v>
      </c>
      <c r="DD11" s="13"/>
      <c r="DE11" s="13" t="s">
        <v>134</v>
      </c>
      <c r="DF11" s="66">
        <f>SOURCE!AE7</f>
        <v>248100</v>
      </c>
      <c r="DG11" s="66">
        <f>SOURCE!Z7/GA7</f>
        <v>11818.181818181818</v>
      </c>
      <c r="DH11" s="13"/>
      <c r="DI11" s="14">
        <f>ROUND($DG$11/GA4,0)</f>
        <v>41</v>
      </c>
      <c r="DJ11" s="13"/>
      <c r="DK11" s="31">
        <f>DF11/DG11</f>
        <v>20.993076923076924</v>
      </c>
      <c r="DL11" s="66"/>
      <c r="DM11" s="44">
        <f t="shared" si="129"/>
        <v>5</v>
      </c>
      <c r="DN11" s="41">
        <f t="shared" si="65"/>
        <v>12272520</v>
      </c>
      <c r="DO11" s="41">
        <f t="shared" si="130"/>
        <v>122596.73076923078</v>
      </c>
      <c r="DP11" s="42">
        <f t="shared" si="66"/>
        <v>0</v>
      </c>
      <c r="DQ11" s="42">
        <f t="shared" si="67"/>
        <v>0</v>
      </c>
      <c r="DR11" s="42">
        <f t="shared" si="68"/>
        <v>0</v>
      </c>
      <c r="DS11" s="42">
        <f t="shared" si="69"/>
        <v>0</v>
      </c>
      <c r="DT11" s="42">
        <f t="shared" si="70"/>
        <v>0</v>
      </c>
      <c r="DU11" s="42">
        <f t="shared" si="71"/>
        <v>0</v>
      </c>
      <c r="DV11" s="42">
        <f t="shared" si="72"/>
        <v>0</v>
      </c>
      <c r="DW11" s="42">
        <f t="shared" si="73"/>
        <v>0</v>
      </c>
      <c r="DX11" s="42">
        <f t="shared" si="74"/>
        <v>612983.65384615399</v>
      </c>
      <c r="DY11" s="42">
        <f>IF(DM11="",DY10,DN11-SUM($DO$6:DO11)+SUM($DP$6:DV11)-SUM($DW$6:DW11))</f>
        <v>11659536.346153846</v>
      </c>
      <c r="DZ11" s="43">
        <f t="shared" si="131"/>
        <v>0.95005234020020712</v>
      </c>
      <c r="EA11" s="43"/>
      <c r="EB11" s="43" t="str">
        <f t="shared" si="146"/>
        <v>True</v>
      </c>
      <c r="EC11" s="41">
        <f t="shared" si="132"/>
        <v>185400</v>
      </c>
      <c r="ED11" s="41">
        <f t="shared" si="133"/>
        <v>606690</v>
      </c>
      <c r="EE11" s="41">
        <f t="shared" si="75"/>
        <v>902280</v>
      </c>
      <c r="EF11" s="41">
        <f t="shared" si="147"/>
        <v>10300</v>
      </c>
      <c r="EG11" s="42">
        <f t="shared" si="134"/>
        <v>8426.25</v>
      </c>
      <c r="EH11" s="42">
        <f t="shared" si="135"/>
        <v>6265.8333333333321</v>
      </c>
      <c r="EI11" s="42">
        <f t="shared" si="76"/>
        <v>51500</v>
      </c>
      <c r="EJ11" s="42">
        <f t="shared" si="136"/>
        <v>42131</v>
      </c>
      <c r="EK11" s="42">
        <f t="shared" si="77"/>
        <v>31329</v>
      </c>
      <c r="EL11" s="42">
        <f>IF(DM11="","",EC11-SUM($EF$6:EF11)+SUM($DP$6:DP11))</f>
        <v>133900</v>
      </c>
      <c r="EM11" s="42">
        <f>IF(DM11="","",ED11-SUM($EG$6:EG11)+SUM($DQ$6:DQ11))</f>
        <v>564558.75</v>
      </c>
      <c r="EN11" s="42">
        <f>IF(DM11="","",EE11-SUM($EH$6:EH11)+SUM($DR$6:DR11))</f>
        <v>870950.83333333337</v>
      </c>
      <c r="EO11" s="152">
        <f t="shared" si="148"/>
        <v>0.92624962867221061</v>
      </c>
      <c r="EP11" s="43"/>
      <c r="EQ11" s="42">
        <f t="shared" si="78"/>
        <v>448050</v>
      </c>
      <c r="ER11" s="42">
        <f t="shared" si="79"/>
        <v>248100</v>
      </c>
      <c r="ES11" s="42">
        <f t="shared" si="137"/>
        <v>3733.75</v>
      </c>
      <c r="ET11" s="42">
        <f t="shared" si="138"/>
        <v>6122.9807692307695</v>
      </c>
      <c r="EU11" s="42">
        <f t="shared" si="80"/>
        <v>18669</v>
      </c>
      <c r="EV11" s="42">
        <f t="shared" si="81"/>
        <v>30615</v>
      </c>
      <c r="EW11" s="42">
        <f>IF(DM11="","",IF(DS11&gt;0,DS11,EQ11-SUM($ES$6:ES11)+SUM($DS$6:DS11)))</f>
        <v>429381.25</v>
      </c>
      <c r="EX11" s="42">
        <f>IF(DM11="","",IF(DT11&gt;0,DT11,ER11-SUM($ET$6:ET11)+SUM($DT$6:DT11)))</f>
        <v>217485.09615384616</v>
      </c>
      <c r="EY11" s="43">
        <f t="shared" si="82"/>
        <v>0.8766025641025641</v>
      </c>
      <c r="EZ11" s="43">
        <f t="shared" si="83"/>
        <v>0.95833333333333337</v>
      </c>
      <c r="FA11" s="43"/>
      <c r="FB11" s="42">
        <f t="shared" si="84"/>
        <v>4700000</v>
      </c>
      <c r="FC11" s="42">
        <f t="shared" si="85"/>
        <v>5182000</v>
      </c>
      <c r="FD11" s="41">
        <f t="shared" si="139"/>
        <v>54833.333333333336</v>
      </c>
      <c r="FE11" s="41">
        <f t="shared" si="140"/>
        <v>32914.583333333336</v>
      </c>
      <c r="FF11" s="42">
        <f t="shared" si="86"/>
        <v>274167</v>
      </c>
      <c r="FG11" s="42">
        <f t="shared" si="87"/>
        <v>164573</v>
      </c>
      <c r="FH11" s="42">
        <f>IF(DM11="","",IF(DU11&gt;0,DU11,FB11-SUM($FD$6:FD11)+SUM($DU$6:DU11)))</f>
        <v>4425833.333333333</v>
      </c>
      <c r="FI11" s="42">
        <f>IF(DM11="","",FC11-SUM($FE$6:FE11)+SUM($DV$6:DV11)-SUM($DW$6:DW11))</f>
        <v>5017427.083333333</v>
      </c>
      <c r="FJ11" s="152">
        <f t="shared" si="88"/>
        <v>0.95560214700128177</v>
      </c>
      <c r="FL11" s="14"/>
      <c r="FM11" s="14" t="str">
        <f t="shared" si="89"/>
        <v>V2524-A5/S1</v>
      </c>
      <c r="FN11" s="14" t="str">
        <f>""</f>
        <v/>
      </c>
      <c r="FO11" s="14" t="s">
        <v>395</v>
      </c>
      <c r="FP11" s="14" t="s">
        <v>391</v>
      </c>
      <c r="FQ11" s="14" t="s">
        <v>401</v>
      </c>
      <c r="FR11" s="27">
        <v>1.5</v>
      </c>
      <c r="FS11" s="21">
        <v>0.05</v>
      </c>
      <c r="FT11" s="21"/>
      <c r="FU11" s="317" t="s">
        <v>479</v>
      </c>
      <c r="FV11" s="8"/>
      <c r="FW11" s="8">
        <v>120</v>
      </c>
      <c r="FY11" s="69"/>
      <c r="GC11" s="68">
        <f t="shared" si="26"/>
        <v>6</v>
      </c>
      <c r="GD11" s="78">
        <f t="shared" si="27"/>
        <v>0</v>
      </c>
      <c r="GE11" s="309">
        <f t="shared" si="28"/>
        <v>0.94006280824024857</v>
      </c>
      <c r="GF11" s="78">
        <f t="shared" si="29"/>
        <v>0</v>
      </c>
      <c r="GG11" s="310">
        <f t="shared" si="30"/>
        <v>0.91149955440665265</v>
      </c>
      <c r="GH11" s="78">
        <f t="shared" si="31"/>
        <v>0</v>
      </c>
      <c r="GI11" s="310">
        <f t="shared" si="32"/>
        <v>0.95</v>
      </c>
      <c r="GJ11" s="311">
        <f t="shared" si="33"/>
        <v>0</v>
      </c>
      <c r="GK11" s="310">
        <f t="shared" si="34"/>
        <v>0.85192307692307689</v>
      </c>
      <c r="GL11" s="311">
        <f t="shared" si="35"/>
        <v>0</v>
      </c>
      <c r="GM11" s="310">
        <f t="shared" si="36"/>
        <v>0.94672257640153812</v>
      </c>
      <c r="GO11" s="266" t="s">
        <v>68</v>
      </c>
      <c r="GP11" s="266" t="s">
        <v>463</v>
      </c>
      <c r="GQ11" s="14">
        <f>IF(GS11="","",COUNT($GS$4:GS11))</f>
        <v>8</v>
      </c>
      <c r="GR11" s="24" t="str">
        <f t="shared" si="37"/>
        <v>8C-Check</v>
      </c>
      <c r="GS11" s="14">
        <f t="shared" si="38"/>
        <v>144</v>
      </c>
      <c r="GU11" s="263">
        <f>IF(GS11="","",$DF$18)</f>
        <v>264480</v>
      </c>
      <c r="GV11" s="13"/>
      <c r="GW11" s="13"/>
      <c r="GX11" s="13"/>
      <c r="GY11" s="14"/>
      <c r="GZ11" s="13"/>
      <c r="HA11" s="14">
        <f>IF(HC11="","",_xlfn.RANK.EQ(HC11,$HC$4:$HC$44,1)+COUNTIF($HC$4:$HC$44,HC11)-COUNTIF($HC$4:HC11,HC11))</f>
        <v>17</v>
      </c>
      <c r="HB11" s="24">
        <f t="shared" si="39"/>
        <v>8</v>
      </c>
      <c r="HC11" s="14">
        <f t="shared" si="0"/>
        <v>144</v>
      </c>
      <c r="HD11" s="24" t="str">
        <f t="shared" si="40"/>
        <v>Airframe</v>
      </c>
      <c r="HE11" s="13" t="str">
        <f t="shared" si="1"/>
        <v>8C-Check</v>
      </c>
      <c r="HF11" s="13" t="str">
        <f t="shared" si="2"/>
        <v>8       Airframe  8C-Check</v>
      </c>
      <c r="HG11" s="13"/>
      <c r="HH11" s="24" t="str">
        <f t="shared" si="3"/>
        <v/>
      </c>
      <c r="HI11" s="66">
        <f t="shared" si="4"/>
        <v>264480</v>
      </c>
      <c r="HJ11" s="82" t="str">
        <f t="shared" si="5"/>
        <v/>
      </c>
      <c r="HK11" s="66" t="str">
        <f t="shared" si="6"/>
        <v/>
      </c>
      <c r="HL11" s="66" t="str">
        <f t="shared" si="7"/>
        <v/>
      </c>
      <c r="HM11" s="66" t="str">
        <f t="shared" si="8"/>
        <v/>
      </c>
      <c r="HN11" s="24">
        <f t="shared" si="141"/>
        <v>8</v>
      </c>
      <c r="HO11" s="14">
        <f t="shared" si="9"/>
        <v>85</v>
      </c>
      <c r="HP11" s="24" t="str">
        <f t="shared" si="10"/>
        <v>Engine</v>
      </c>
      <c r="HQ11" s="24" t="str">
        <f t="shared" si="11"/>
        <v>SV (2 Each)</v>
      </c>
      <c r="HR11" s="13" t="str">
        <f t="shared" si="41"/>
        <v>8       Engine  SV (2 Each)</v>
      </c>
      <c r="HT11" s="13" t="str">
        <f t="shared" si="12"/>
        <v>PR</v>
      </c>
      <c r="HU11" s="75">
        <f t="shared" si="13"/>
        <v>4700000</v>
      </c>
      <c r="HV11" s="75">
        <f t="shared" si="42"/>
        <v>2607000</v>
      </c>
      <c r="HW11" s="75">
        <f t="shared" si="14"/>
        <v>977850</v>
      </c>
      <c r="HX11" s="75">
        <f t="shared" si="15"/>
        <v>25000</v>
      </c>
      <c r="HY11" s="66">
        <f t="shared" si="16"/>
        <v>12500</v>
      </c>
      <c r="HZ11" s="151" t="str">
        <f t="shared" si="17"/>
        <v>Airframe</v>
      </c>
      <c r="IA11" s="151" t="str">
        <f t="shared" si="18"/>
        <v>8       Airframe  8C-Check</v>
      </c>
      <c r="IB11" s="151"/>
      <c r="IC11" s="149">
        <f t="shared" si="19"/>
        <v>144</v>
      </c>
      <c r="ID11" s="151" t="str">
        <f t="shared" si="20"/>
        <v/>
      </c>
      <c r="IE11" s="33">
        <f t="shared" si="21"/>
        <v>264480</v>
      </c>
      <c r="IF11" s="33" t="str">
        <f t="shared" si="22"/>
        <v/>
      </c>
      <c r="IG11" s="33" t="str">
        <f t="shared" si="23"/>
        <v/>
      </c>
      <c r="IH11" s="33" t="str">
        <f t="shared" si="24"/>
        <v/>
      </c>
      <c r="II11" s="33" t="str">
        <f t="shared" si="25"/>
        <v/>
      </c>
    </row>
    <row r="12" spans="1:251" ht="12" x14ac:dyDescent="0.2">
      <c r="A12" s="9"/>
      <c r="B12" s="556"/>
      <c r="C12" s="306"/>
      <c r="D12" s="26"/>
      <c r="E12" s="26"/>
      <c r="F12" s="26"/>
      <c r="G12" s="26"/>
      <c r="H12" s="26"/>
      <c r="I12" s="26"/>
      <c r="J12" s="26"/>
      <c r="K12" s="26"/>
      <c r="L12" s="26"/>
      <c r="M12" s="26"/>
      <c r="N12" s="26"/>
      <c r="O12" s="26"/>
      <c r="P12" s="26"/>
      <c r="Q12" s="26"/>
      <c r="R12" s="26"/>
      <c r="S12" s="26"/>
      <c r="T12" s="26"/>
      <c r="U12" s="26"/>
      <c r="V12" s="26"/>
      <c r="W12" s="307"/>
      <c r="X12" s="307"/>
      <c r="Y12" s="229"/>
      <c r="AB12" s="23">
        <f t="shared" si="142"/>
        <v>5000</v>
      </c>
      <c r="AC12" s="20">
        <v>1.6</v>
      </c>
      <c r="AD12" s="18">
        <f>(AD11-($AD$11-$AD$16)/5)</f>
        <v>1.1320000000000001</v>
      </c>
      <c r="AE12" s="18">
        <f>AE11-($AE$11-$AE$16)/5</f>
        <v>0.98399999999999999</v>
      </c>
      <c r="AF12" s="18">
        <f>AF11-($AF$11-$AF$16)/5</f>
        <v>1.2</v>
      </c>
      <c r="AG12" s="18">
        <f>AG11-($AG$11-AG16)/5</f>
        <v>0.98399999999999999</v>
      </c>
      <c r="AH12" s="50">
        <f t="shared" si="43"/>
        <v>2312400</v>
      </c>
      <c r="AI12" s="51">
        <f t="shared" si="90"/>
        <v>106.40800000000002</v>
      </c>
      <c r="AJ12" s="50">
        <f t="shared" si="91"/>
        <v>13582.155477031798</v>
      </c>
      <c r="AK12" s="50">
        <f t="shared" si="92"/>
        <v>21731.448763250879</v>
      </c>
      <c r="AL12" s="348">
        <f t="shared" si="143"/>
        <v>2428020</v>
      </c>
      <c r="AM12" s="354">
        <f t="shared" si="93"/>
        <v>185.0625</v>
      </c>
      <c r="AN12" s="348">
        <f t="shared" si="94"/>
        <v>8200</v>
      </c>
      <c r="AO12" s="348">
        <f t="shared" si="95"/>
        <v>13120</v>
      </c>
      <c r="AP12" s="7"/>
      <c r="AQ12" s="349">
        <f t="shared" si="96"/>
        <v>1.6</v>
      </c>
      <c r="AR12" s="50">
        <f t="shared" si="45"/>
        <v>2428020</v>
      </c>
      <c r="AS12" s="51">
        <f t="shared" si="46"/>
        <v>185.0625</v>
      </c>
      <c r="AT12" s="348">
        <f t="shared" si="47"/>
        <v>8200</v>
      </c>
      <c r="AU12" s="348">
        <f t="shared" si="48"/>
        <v>13120</v>
      </c>
      <c r="AV12" s="350">
        <f t="shared" si="49"/>
        <v>2428020</v>
      </c>
      <c r="AW12" s="349">
        <f t="shared" si="50"/>
        <v>185.0625</v>
      </c>
      <c r="AX12" s="348">
        <f t="shared" si="51"/>
        <v>8000</v>
      </c>
      <c r="AY12" s="348">
        <f t="shared" si="52"/>
        <v>12800</v>
      </c>
      <c r="AZ12" s="7"/>
      <c r="BA12" s="24">
        <f t="shared" si="144"/>
        <v>7</v>
      </c>
      <c r="BB12" s="66">
        <f>IF(VLOOKUP($FW$29,SOURCE!$AH$5:$AJ$50,3,FALSE)="CFM56-5B",SOURCE!BB11,SOURCE!BG11)</f>
        <v>20000</v>
      </c>
      <c r="BC12" s="66">
        <f>IF(VLOOKUP($FW$29,SOURCE!$AH$5:$AJ$50,3,FALSE)="CFM56-5B",SOURCE!BC11,SOURCE!BH11)</f>
        <v>42020</v>
      </c>
      <c r="BD12" s="31">
        <f t="shared" si="97"/>
        <v>2.1</v>
      </c>
      <c r="BE12" s="13"/>
      <c r="BF12" s="13"/>
      <c r="BG12" s="66">
        <f t="shared" si="98"/>
        <v>42020</v>
      </c>
      <c r="BH12" s="66">
        <f t="shared" si="99"/>
        <v>15750</v>
      </c>
      <c r="BI12" s="66">
        <f t="shared" si="149"/>
        <v>20000</v>
      </c>
      <c r="BJ12" s="13"/>
      <c r="BK12" s="13"/>
      <c r="BL12" s="66" t="str">
        <f t="shared" si="100"/>
        <v/>
      </c>
      <c r="BM12" s="66" t="str">
        <f t="shared" si="101"/>
        <v/>
      </c>
      <c r="BN12" s="66">
        <f t="shared" si="102"/>
        <v>12000</v>
      </c>
      <c r="BO12" s="66">
        <f t="shared" si="103"/>
        <v>42020</v>
      </c>
      <c r="BP12" s="66">
        <f t="shared" si="53"/>
        <v>8404</v>
      </c>
      <c r="BQ12" s="66">
        <f t="shared" si="104"/>
        <v>20000</v>
      </c>
      <c r="BR12" s="66" t="str">
        <f t="shared" si="105"/>
        <v/>
      </c>
      <c r="BS12" s="66" t="str">
        <f t="shared" si="106"/>
        <v/>
      </c>
      <c r="BT12" s="66">
        <f t="shared" si="54"/>
        <v>12000</v>
      </c>
      <c r="BU12" s="66">
        <f t="shared" si="107"/>
        <v>42020</v>
      </c>
      <c r="BV12" s="66">
        <f t="shared" si="108"/>
        <v>8404</v>
      </c>
      <c r="BW12" s="66">
        <f t="shared" si="55"/>
        <v>20000</v>
      </c>
      <c r="BX12" s="66" t="str">
        <f t="shared" si="109"/>
        <v/>
      </c>
      <c r="BY12" s="66" t="str">
        <f t="shared" si="56"/>
        <v/>
      </c>
      <c r="BZ12" s="66">
        <f t="shared" si="57"/>
        <v>12000</v>
      </c>
      <c r="CA12" s="66">
        <f t="shared" si="110"/>
        <v>42020</v>
      </c>
      <c r="CB12" s="66">
        <f t="shared" si="58"/>
        <v>8404</v>
      </c>
      <c r="CC12" s="66">
        <f t="shared" si="59"/>
        <v>20000</v>
      </c>
      <c r="CD12" s="66" t="str">
        <f t="shared" si="145"/>
        <v/>
      </c>
      <c r="CE12" s="66" t="str">
        <f t="shared" si="60"/>
        <v/>
      </c>
      <c r="CF12" s="66">
        <f t="shared" si="61"/>
        <v>12000</v>
      </c>
      <c r="CG12" s="66">
        <f t="shared" si="111"/>
        <v>42020</v>
      </c>
      <c r="CH12" s="66">
        <f t="shared" si="62"/>
        <v>8404</v>
      </c>
      <c r="CI12" s="66">
        <f t="shared" si="63"/>
        <v>20000</v>
      </c>
      <c r="CJ12" s="66" t="str">
        <f t="shared" si="112"/>
        <v/>
      </c>
      <c r="CK12" s="66" t="str">
        <f t="shared" si="113"/>
        <v/>
      </c>
      <c r="CL12" s="66">
        <f t="shared" si="64"/>
        <v>12000</v>
      </c>
      <c r="CM12" s="66">
        <f t="shared" si="114"/>
        <v>42020</v>
      </c>
      <c r="CN12" s="66">
        <f t="shared" si="115"/>
        <v>8404</v>
      </c>
      <c r="CO12" s="66">
        <f t="shared" si="116"/>
        <v>20000</v>
      </c>
      <c r="CP12" s="66" t="str">
        <f t="shared" si="117"/>
        <v/>
      </c>
      <c r="CQ12" s="66" t="str">
        <f t="shared" si="118"/>
        <v/>
      </c>
      <c r="CR12" s="66">
        <f t="shared" si="119"/>
        <v>12000</v>
      </c>
      <c r="CS12" s="66">
        <f t="shared" si="120"/>
        <v>42020</v>
      </c>
      <c r="CT12" s="66">
        <f t="shared" si="121"/>
        <v>8404</v>
      </c>
      <c r="CU12" s="66">
        <f t="shared" si="122"/>
        <v>20000</v>
      </c>
      <c r="CV12" s="66" t="str">
        <f t="shared" si="123"/>
        <v/>
      </c>
      <c r="CW12" s="66" t="str">
        <f t="shared" si="124"/>
        <v/>
      </c>
      <c r="CX12" s="66">
        <f t="shared" si="125"/>
        <v>12000</v>
      </c>
      <c r="CY12" s="66">
        <f t="shared" si="126"/>
        <v>42020</v>
      </c>
      <c r="CZ12" s="66">
        <f t="shared" si="127"/>
        <v>8404</v>
      </c>
      <c r="DA12" s="66">
        <f t="shared" si="128"/>
        <v>20000</v>
      </c>
      <c r="DB12" s="9"/>
      <c r="DC12" s="13" t="s">
        <v>140</v>
      </c>
      <c r="DD12" s="13"/>
      <c r="DE12" s="13" t="s">
        <v>135</v>
      </c>
      <c r="DF12" s="66">
        <f>VLOOKUP($GA$6,$AC$6:$AO$46,6,FALSE)</f>
        <v>2350000</v>
      </c>
      <c r="DG12" s="66">
        <f>BF6</f>
        <v>25000</v>
      </c>
      <c r="DH12" s="66">
        <f>BE6</f>
        <v>12500</v>
      </c>
      <c r="DI12" s="13"/>
      <c r="DJ12" s="13"/>
      <c r="DK12" s="31">
        <f>(DF12/DG12)*2</f>
        <v>188</v>
      </c>
      <c r="DL12" s="66"/>
      <c r="DM12" s="44">
        <f t="shared" si="129"/>
        <v>6</v>
      </c>
      <c r="DN12" s="41">
        <f t="shared" si="65"/>
        <v>12272520</v>
      </c>
      <c r="DO12" s="41">
        <f t="shared" si="130"/>
        <v>122596.73076923078</v>
      </c>
      <c r="DP12" s="42">
        <f t="shared" si="66"/>
        <v>0</v>
      </c>
      <c r="DQ12" s="42">
        <f t="shared" si="67"/>
        <v>0</v>
      </c>
      <c r="DR12" s="42">
        <f t="shared" si="68"/>
        <v>0</v>
      </c>
      <c r="DS12" s="42">
        <f t="shared" si="69"/>
        <v>0</v>
      </c>
      <c r="DT12" s="42">
        <f t="shared" si="70"/>
        <v>0</v>
      </c>
      <c r="DU12" s="42">
        <f t="shared" si="71"/>
        <v>0</v>
      </c>
      <c r="DV12" s="42">
        <f t="shared" si="72"/>
        <v>0</v>
      </c>
      <c r="DW12" s="42">
        <f t="shared" si="73"/>
        <v>0</v>
      </c>
      <c r="DX12" s="42">
        <f t="shared" si="74"/>
        <v>735580.38461538404</v>
      </c>
      <c r="DY12" s="42">
        <f>IF(DM12="",DY11,DN12-SUM($DO$6:DO12)+SUM($DP$6:DV12)-SUM($DW$6:DW12))</f>
        <v>11536939.615384616</v>
      </c>
      <c r="DZ12" s="43">
        <f t="shared" si="131"/>
        <v>0.94006280824024857</v>
      </c>
      <c r="EA12" s="43"/>
      <c r="EB12" s="43" t="str">
        <f t="shared" si="146"/>
        <v>True</v>
      </c>
      <c r="EC12" s="41">
        <f t="shared" si="132"/>
        <v>185400</v>
      </c>
      <c r="ED12" s="41">
        <f t="shared" si="133"/>
        <v>606690</v>
      </c>
      <c r="EE12" s="41">
        <f t="shared" si="75"/>
        <v>902280</v>
      </c>
      <c r="EF12" s="41">
        <f t="shared" si="147"/>
        <v>10300</v>
      </c>
      <c r="EG12" s="42">
        <f t="shared" si="134"/>
        <v>8426.25</v>
      </c>
      <c r="EH12" s="42">
        <f t="shared" si="135"/>
        <v>6265.8333333333321</v>
      </c>
      <c r="EI12" s="42">
        <f t="shared" si="76"/>
        <v>61800</v>
      </c>
      <c r="EJ12" s="42">
        <f t="shared" si="136"/>
        <v>50558</v>
      </c>
      <c r="EK12" s="42">
        <f t="shared" si="77"/>
        <v>37595</v>
      </c>
      <c r="EL12" s="42">
        <f>IF(DM12="","",EC12-SUM($EF$6:EF12)+SUM($DP$6:DP12))</f>
        <v>123600</v>
      </c>
      <c r="EM12" s="42">
        <f>IF(DM12="","",ED12-SUM($EG$6:EG12)+SUM($DQ$6:DQ12))</f>
        <v>556132.5</v>
      </c>
      <c r="EN12" s="42">
        <f>IF(DM12="","",EE12-SUM($EH$6:EH12)+SUM($DR$6:DR12))</f>
        <v>864685</v>
      </c>
      <c r="EO12" s="152">
        <f t="shared" si="148"/>
        <v>0.91149955440665265</v>
      </c>
      <c r="EP12" s="43"/>
      <c r="EQ12" s="42">
        <f t="shared" si="78"/>
        <v>448050</v>
      </c>
      <c r="ER12" s="42">
        <f t="shared" si="79"/>
        <v>248100</v>
      </c>
      <c r="ES12" s="42">
        <f t="shared" si="137"/>
        <v>3733.75</v>
      </c>
      <c r="ET12" s="42">
        <f t="shared" si="138"/>
        <v>6122.9807692307695</v>
      </c>
      <c r="EU12" s="42">
        <f t="shared" si="80"/>
        <v>22403</v>
      </c>
      <c r="EV12" s="42">
        <f t="shared" si="81"/>
        <v>36738</v>
      </c>
      <c r="EW12" s="42">
        <f>IF(DM12="","",IF(DS12&gt;0,DS12,EQ12-SUM($ES$6:ES12)+SUM($DS$6:DS12)))</f>
        <v>425647.5</v>
      </c>
      <c r="EX12" s="42">
        <f>IF(DM12="","",IF(DT12&gt;0,DT12,ER12-SUM($ET$6:ET12)+SUM($DT$6:DT12)))</f>
        <v>211362.11538461538</v>
      </c>
      <c r="EY12" s="43">
        <f t="shared" si="82"/>
        <v>0.85192307692307689</v>
      </c>
      <c r="EZ12" s="43">
        <f t="shared" si="83"/>
        <v>0.95</v>
      </c>
      <c r="FA12" s="43"/>
      <c r="FB12" s="42">
        <f t="shared" si="84"/>
        <v>4700000</v>
      </c>
      <c r="FC12" s="42">
        <f t="shared" si="85"/>
        <v>5182000</v>
      </c>
      <c r="FD12" s="41">
        <f t="shared" si="139"/>
        <v>54833.333333333336</v>
      </c>
      <c r="FE12" s="41">
        <f t="shared" si="140"/>
        <v>32914.583333333336</v>
      </c>
      <c r="FF12" s="42">
        <f t="shared" si="86"/>
        <v>329000</v>
      </c>
      <c r="FG12" s="42">
        <f t="shared" si="87"/>
        <v>197488</v>
      </c>
      <c r="FH12" s="42">
        <f>IF(DM12="","",IF(DU12&gt;0,DU12,FB12-SUM($FD$6:FD12)+SUM($DU$6:DU12)))</f>
        <v>4371000</v>
      </c>
      <c r="FI12" s="42">
        <f>IF(DM12="","",FC12-SUM($FE$6:FE12)+SUM($DV$6:DV12)-SUM($DW$6:DW12))</f>
        <v>4984512.5</v>
      </c>
      <c r="FJ12" s="152">
        <f t="shared" si="88"/>
        <v>0.94672257640153812</v>
      </c>
      <c r="FL12" s="14"/>
      <c r="FM12" s="14" t="str">
        <f t="shared" si="89"/>
        <v>V2527-A5</v>
      </c>
      <c r="FN12" s="14" t="str">
        <f>""</f>
        <v/>
      </c>
      <c r="FO12" s="14" t="s">
        <v>388</v>
      </c>
      <c r="FP12" s="14" t="s">
        <v>402</v>
      </c>
      <c r="FQ12" s="14" t="s">
        <v>404</v>
      </c>
      <c r="FR12" s="27">
        <v>1.6</v>
      </c>
      <c r="FS12" s="21">
        <v>0.06</v>
      </c>
      <c r="FT12" s="21"/>
      <c r="FU12" s="317" t="s">
        <v>370</v>
      </c>
      <c r="FV12" s="8"/>
      <c r="FW12" s="8">
        <v>132</v>
      </c>
      <c r="GC12" s="68">
        <f t="shared" si="26"/>
        <v>7</v>
      </c>
      <c r="GD12" s="78">
        <f t="shared" si="27"/>
        <v>0</v>
      </c>
      <c r="GE12" s="309">
        <f t="shared" si="28"/>
        <v>0.93007327628028991</v>
      </c>
      <c r="GF12" s="78">
        <f t="shared" si="29"/>
        <v>0</v>
      </c>
      <c r="GG12" s="310">
        <f t="shared" si="30"/>
        <v>0.89674948014109468</v>
      </c>
      <c r="GH12" s="78">
        <f t="shared" si="31"/>
        <v>0</v>
      </c>
      <c r="GI12" s="310">
        <f t="shared" si="32"/>
        <v>0.94166666666666665</v>
      </c>
      <c r="GJ12" s="311">
        <f t="shared" si="33"/>
        <v>0</v>
      </c>
      <c r="GK12" s="310">
        <f t="shared" si="34"/>
        <v>0.8272435897435898</v>
      </c>
      <c r="GL12" s="311">
        <f t="shared" si="35"/>
        <v>0</v>
      </c>
      <c r="GM12" s="310">
        <f t="shared" si="36"/>
        <v>0.93784300580179458</v>
      </c>
      <c r="GO12" s="266" t="s">
        <v>68</v>
      </c>
      <c r="GP12" s="266" t="s">
        <v>464</v>
      </c>
      <c r="GQ12" s="14">
        <f>IF(GS12="","",COUNT($GS$4:GS12))</f>
        <v>9</v>
      </c>
      <c r="GR12" s="24" t="str">
        <f t="shared" ref="GR12:GR17" si="150">IF(GQ12="","",GP12)</f>
        <v>9C-Check</v>
      </c>
      <c r="GS12" s="14">
        <f t="shared" si="38"/>
        <v>162</v>
      </c>
      <c r="GU12" s="263">
        <f>IF(GS12="","",$DF$17)</f>
        <v>222480</v>
      </c>
      <c r="HA12" s="14">
        <f>IF(HC12="","",_xlfn.RANK.EQ(HC12,$HC$4:$HC$44,1)+COUNTIF($HC$4:$HC$44,HC12)-COUNTIF($HC$4:HC12,HC12))</f>
        <v>18</v>
      </c>
      <c r="HB12" s="24">
        <f t="shared" si="39"/>
        <v>9</v>
      </c>
      <c r="HC12" s="14">
        <f t="shared" si="0"/>
        <v>162</v>
      </c>
      <c r="HD12" s="24" t="str">
        <f t="shared" si="40"/>
        <v>Airframe</v>
      </c>
      <c r="HE12" s="13" t="str">
        <f t="shared" si="1"/>
        <v>9C-Check</v>
      </c>
      <c r="HF12" s="13" t="str">
        <f t="shared" si="2"/>
        <v>9       Airframe  9C-Check</v>
      </c>
      <c r="HG12" s="13"/>
      <c r="HH12" s="24" t="str">
        <f t="shared" si="3"/>
        <v/>
      </c>
      <c r="HI12" s="66">
        <f t="shared" si="4"/>
        <v>222480</v>
      </c>
      <c r="HJ12" s="82" t="str">
        <f t="shared" si="5"/>
        <v/>
      </c>
      <c r="HK12" s="66" t="str">
        <f t="shared" si="6"/>
        <v/>
      </c>
      <c r="HL12" s="66" t="str">
        <f t="shared" si="7"/>
        <v/>
      </c>
      <c r="HM12" s="66" t="str">
        <f t="shared" si="8"/>
        <v/>
      </c>
      <c r="HN12" s="24">
        <f t="shared" si="141"/>
        <v>9</v>
      </c>
      <c r="HO12" s="14">
        <f t="shared" si="9"/>
        <v>90</v>
      </c>
      <c r="HP12" s="24" t="str">
        <f t="shared" si="10"/>
        <v>Airframe</v>
      </c>
      <c r="HQ12" s="24" t="str">
        <f t="shared" si="11"/>
        <v>5C-Check</v>
      </c>
      <c r="HR12" s="13" t="str">
        <f t="shared" si="41"/>
        <v>9       Airframe  5C-Check</v>
      </c>
      <c r="HT12" s="13" t="str">
        <f t="shared" si="12"/>
        <v/>
      </c>
      <c r="HU12" s="75">
        <f t="shared" si="13"/>
        <v>222480</v>
      </c>
      <c r="HV12" s="75" t="str">
        <f t="shared" si="42"/>
        <v/>
      </c>
      <c r="HW12" s="75" t="str">
        <f t="shared" si="14"/>
        <v/>
      </c>
      <c r="HX12" s="75" t="str">
        <f t="shared" si="15"/>
        <v/>
      </c>
      <c r="HY12" s="66" t="str">
        <f t="shared" si="16"/>
        <v/>
      </c>
      <c r="HZ12" s="151" t="str">
        <f t="shared" si="17"/>
        <v>Airframe</v>
      </c>
      <c r="IA12" s="151" t="str">
        <f t="shared" si="18"/>
        <v>9       Airframe  9C-Check</v>
      </c>
      <c r="IB12" s="151"/>
      <c r="IC12" s="149">
        <f t="shared" si="19"/>
        <v>162</v>
      </c>
      <c r="ID12" s="151" t="str">
        <f t="shared" si="20"/>
        <v/>
      </c>
      <c r="IE12" s="33">
        <f t="shared" si="21"/>
        <v>222480</v>
      </c>
      <c r="IF12" s="33" t="str">
        <f t="shared" si="22"/>
        <v/>
      </c>
      <c r="IG12" s="33" t="str">
        <f t="shared" si="23"/>
        <v/>
      </c>
      <c r="IH12" s="33" t="str">
        <f t="shared" si="24"/>
        <v/>
      </c>
      <c r="II12" s="33" t="str">
        <f t="shared" si="25"/>
        <v/>
      </c>
    </row>
    <row r="13" spans="1:251" ht="12" x14ac:dyDescent="0.2">
      <c r="B13" s="556"/>
      <c r="C13" s="26"/>
      <c r="D13" s="26"/>
      <c r="E13" s="26"/>
      <c r="F13" s="26"/>
      <c r="G13" s="26"/>
      <c r="H13" s="26"/>
      <c r="I13" s="26"/>
      <c r="J13" s="26"/>
      <c r="K13" s="26"/>
      <c r="L13" s="26"/>
      <c r="M13" s="26"/>
      <c r="N13" s="26"/>
      <c r="O13" s="26"/>
      <c r="P13" s="26"/>
      <c r="Q13" s="26"/>
      <c r="R13" s="26"/>
      <c r="S13" s="26"/>
      <c r="T13" s="26"/>
      <c r="U13" s="26"/>
      <c r="V13" s="26"/>
      <c r="W13" s="307"/>
      <c r="X13" s="307"/>
      <c r="Y13" s="229"/>
      <c r="AC13" s="51">
        <v>1.7</v>
      </c>
      <c r="AD13" s="18">
        <f>(AD12-($AD$11-$AD$16)/5)</f>
        <v>1.0990000000000002</v>
      </c>
      <c r="AE13" s="18">
        <f>AE12-($AE$11-$AE$16)/5</f>
        <v>0.98799999999999999</v>
      </c>
      <c r="AF13" s="18">
        <f>AF12-($AF$11-$AF$16)/5</f>
        <v>1.1499999999999999</v>
      </c>
      <c r="AG13" s="18">
        <f>AG12-($AG$11-AG17)/5</f>
        <v>0.98880000000000001</v>
      </c>
      <c r="AH13" s="50">
        <f t="shared" si="43"/>
        <v>2321800</v>
      </c>
      <c r="AI13" s="51">
        <f t="shared" si="90"/>
        <v>103.30600000000001</v>
      </c>
      <c r="AJ13" s="50">
        <f t="shared" si="91"/>
        <v>13220.574854145478</v>
      </c>
      <c r="AK13" s="50">
        <f t="shared" si="92"/>
        <v>22474.977252047313</v>
      </c>
      <c r="AL13" s="348">
        <f t="shared" si="143"/>
        <v>2439864</v>
      </c>
      <c r="AM13" s="354">
        <f t="shared" si="93"/>
        <v>177.3515625</v>
      </c>
      <c r="AN13" s="348">
        <f t="shared" si="94"/>
        <v>8092.4808184143221</v>
      </c>
      <c r="AO13" s="348">
        <f t="shared" si="95"/>
        <v>13757.217391304348</v>
      </c>
      <c r="AP13" s="7"/>
      <c r="AQ13" s="349">
        <f t="shared" si="96"/>
        <v>1.7</v>
      </c>
      <c r="AR13" s="50">
        <f t="shared" si="45"/>
        <v>2439864</v>
      </c>
      <c r="AS13" s="51">
        <f t="shared" si="46"/>
        <v>177.3515625</v>
      </c>
      <c r="AT13" s="348">
        <f t="shared" si="47"/>
        <v>8092.4808184143221</v>
      </c>
      <c r="AU13" s="348">
        <f t="shared" si="48"/>
        <v>13757.217391304348</v>
      </c>
      <c r="AV13" s="350">
        <f t="shared" si="49"/>
        <v>2439864</v>
      </c>
      <c r="AW13" s="349">
        <f t="shared" si="50"/>
        <v>177.3515625</v>
      </c>
      <c r="AX13" s="348">
        <f t="shared" si="51"/>
        <v>8000</v>
      </c>
      <c r="AY13" s="348">
        <f t="shared" si="52"/>
        <v>13600</v>
      </c>
      <c r="AZ13" s="7"/>
      <c r="BA13" s="24">
        <f t="shared" si="144"/>
        <v>8</v>
      </c>
      <c r="BB13" s="66">
        <f>IF(VLOOKUP($FW$29,SOURCE!$AH$5:$AJ$50,3,FALSE)="CFM56-5B",SOURCE!BB12,SOURCE!BG12)</f>
        <v>20000</v>
      </c>
      <c r="BC13" s="66">
        <f>IF(VLOOKUP($FW$29,SOURCE!$AH$5:$AJ$50,3,FALSE)="CFM56-5B",SOURCE!BC12,SOURCE!BH12)</f>
        <v>302600</v>
      </c>
      <c r="BD13" s="31">
        <f t="shared" si="97"/>
        <v>15.13</v>
      </c>
      <c r="BE13" s="13"/>
      <c r="BF13" s="13"/>
      <c r="BG13" s="66">
        <f t="shared" si="98"/>
        <v>302600</v>
      </c>
      <c r="BH13" s="66">
        <f t="shared" si="99"/>
        <v>113475</v>
      </c>
      <c r="BI13" s="66">
        <f t="shared" si="149"/>
        <v>20000</v>
      </c>
      <c r="BJ13" s="13"/>
      <c r="BK13" s="13"/>
      <c r="BL13" s="66" t="str">
        <f t="shared" si="100"/>
        <v/>
      </c>
      <c r="BM13" s="66" t="str">
        <f t="shared" si="101"/>
        <v/>
      </c>
      <c r="BN13" s="66">
        <f t="shared" si="102"/>
        <v>12000</v>
      </c>
      <c r="BO13" s="66">
        <f t="shared" si="103"/>
        <v>302600</v>
      </c>
      <c r="BP13" s="66">
        <f t="shared" si="53"/>
        <v>60520</v>
      </c>
      <c r="BQ13" s="66">
        <f t="shared" si="104"/>
        <v>20000</v>
      </c>
      <c r="BR13" s="66" t="str">
        <f t="shared" si="105"/>
        <v/>
      </c>
      <c r="BS13" s="66" t="str">
        <f t="shared" si="106"/>
        <v/>
      </c>
      <c r="BT13" s="66">
        <f t="shared" si="54"/>
        <v>12000</v>
      </c>
      <c r="BU13" s="66">
        <f t="shared" si="107"/>
        <v>302600</v>
      </c>
      <c r="BV13" s="66">
        <f t="shared" si="108"/>
        <v>60520</v>
      </c>
      <c r="BW13" s="66">
        <f t="shared" si="55"/>
        <v>20000</v>
      </c>
      <c r="BX13" s="66" t="str">
        <f t="shared" si="109"/>
        <v/>
      </c>
      <c r="BY13" s="66" t="str">
        <f t="shared" si="56"/>
        <v/>
      </c>
      <c r="BZ13" s="66">
        <f t="shared" si="57"/>
        <v>12000</v>
      </c>
      <c r="CA13" s="66">
        <f t="shared" si="110"/>
        <v>302600</v>
      </c>
      <c r="CB13" s="66">
        <f t="shared" si="58"/>
        <v>60520</v>
      </c>
      <c r="CC13" s="66">
        <f t="shared" si="59"/>
        <v>20000</v>
      </c>
      <c r="CD13" s="66" t="str">
        <f t="shared" si="145"/>
        <v/>
      </c>
      <c r="CE13" s="66" t="str">
        <f t="shared" si="60"/>
        <v/>
      </c>
      <c r="CF13" s="66">
        <f t="shared" si="61"/>
        <v>12000</v>
      </c>
      <c r="CG13" s="66">
        <f t="shared" si="111"/>
        <v>302600</v>
      </c>
      <c r="CH13" s="66">
        <f t="shared" si="62"/>
        <v>60520</v>
      </c>
      <c r="CI13" s="66">
        <f t="shared" si="63"/>
        <v>20000</v>
      </c>
      <c r="CJ13" s="66" t="str">
        <f t="shared" si="112"/>
        <v/>
      </c>
      <c r="CK13" s="66" t="str">
        <f t="shared" si="113"/>
        <v/>
      </c>
      <c r="CL13" s="66">
        <f t="shared" si="64"/>
        <v>12000</v>
      </c>
      <c r="CM13" s="66">
        <f t="shared" si="114"/>
        <v>302600</v>
      </c>
      <c r="CN13" s="66">
        <f t="shared" si="115"/>
        <v>60520</v>
      </c>
      <c r="CO13" s="66">
        <f t="shared" si="116"/>
        <v>20000</v>
      </c>
      <c r="CP13" s="66" t="str">
        <f t="shared" si="117"/>
        <v/>
      </c>
      <c r="CQ13" s="66" t="str">
        <f t="shared" si="118"/>
        <v/>
      </c>
      <c r="CR13" s="66">
        <f t="shared" si="119"/>
        <v>12000</v>
      </c>
      <c r="CS13" s="66">
        <f t="shared" si="120"/>
        <v>302600</v>
      </c>
      <c r="CT13" s="66">
        <f t="shared" si="121"/>
        <v>60520</v>
      </c>
      <c r="CU13" s="66">
        <f t="shared" si="122"/>
        <v>20000</v>
      </c>
      <c r="CV13" s="66" t="str">
        <f t="shared" si="123"/>
        <v/>
      </c>
      <c r="CW13" s="66" t="str">
        <f t="shared" si="124"/>
        <v/>
      </c>
      <c r="CX13" s="66">
        <f t="shared" si="125"/>
        <v>12000</v>
      </c>
      <c r="CY13" s="66">
        <f t="shared" si="126"/>
        <v>302600</v>
      </c>
      <c r="CZ13" s="66">
        <f t="shared" si="127"/>
        <v>60520</v>
      </c>
      <c r="DA13" s="66">
        <f t="shared" si="128"/>
        <v>20000</v>
      </c>
      <c r="DB13" s="9"/>
      <c r="DC13" s="146" t="s">
        <v>141</v>
      </c>
      <c r="DD13" s="146"/>
      <c r="DE13" s="146" t="s">
        <v>136</v>
      </c>
      <c r="DF13" s="286">
        <f>BC31</f>
        <v>2591000</v>
      </c>
      <c r="DG13" s="146"/>
      <c r="DH13" s="286">
        <f>BB31</f>
        <v>23333.333333333332</v>
      </c>
      <c r="DI13" s="146"/>
      <c r="DJ13" s="146"/>
      <c r="DK13" s="148">
        <f>2*(BD31/O7)</f>
        <v>112.85000000000001</v>
      </c>
      <c r="DL13" s="66"/>
      <c r="DM13" s="44">
        <f t="shared" si="129"/>
        <v>7</v>
      </c>
      <c r="DN13" s="41">
        <f t="shared" si="65"/>
        <v>12272520</v>
      </c>
      <c r="DO13" s="41">
        <f t="shared" si="130"/>
        <v>122596.73076923078</v>
      </c>
      <c r="DP13" s="42">
        <f t="shared" si="66"/>
        <v>0</v>
      </c>
      <c r="DQ13" s="42">
        <f t="shared" si="67"/>
        <v>0</v>
      </c>
      <c r="DR13" s="42">
        <f t="shared" si="68"/>
        <v>0</v>
      </c>
      <c r="DS13" s="42">
        <f t="shared" si="69"/>
        <v>0</v>
      </c>
      <c r="DT13" s="42">
        <f t="shared" si="70"/>
        <v>0</v>
      </c>
      <c r="DU13" s="42">
        <f t="shared" si="71"/>
        <v>0</v>
      </c>
      <c r="DV13" s="42">
        <f t="shared" si="72"/>
        <v>0</v>
      </c>
      <c r="DW13" s="42">
        <f t="shared" si="73"/>
        <v>0</v>
      </c>
      <c r="DX13" s="42">
        <f t="shared" si="74"/>
        <v>858177.11538461596</v>
      </c>
      <c r="DY13" s="42">
        <f>IF(DM13="",DY12,DN13-SUM($DO$6:DO13)+SUM($DP$6:DV13)-SUM($DW$6:DW13))</f>
        <v>11414342.884615384</v>
      </c>
      <c r="DZ13" s="43">
        <f t="shared" si="131"/>
        <v>0.93007327628028991</v>
      </c>
      <c r="EA13" s="43"/>
      <c r="EB13" s="43" t="str">
        <f t="shared" si="146"/>
        <v>True</v>
      </c>
      <c r="EC13" s="41">
        <f t="shared" si="132"/>
        <v>185400</v>
      </c>
      <c r="ED13" s="41">
        <f t="shared" si="133"/>
        <v>606690</v>
      </c>
      <c r="EE13" s="41">
        <f t="shared" si="75"/>
        <v>902280</v>
      </c>
      <c r="EF13" s="41">
        <f t="shared" si="147"/>
        <v>10300</v>
      </c>
      <c r="EG13" s="42">
        <f t="shared" si="134"/>
        <v>8426.25</v>
      </c>
      <c r="EH13" s="42">
        <f t="shared" si="135"/>
        <v>6265.8333333333321</v>
      </c>
      <c r="EI13" s="42">
        <f t="shared" si="76"/>
        <v>72100</v>
      </c>
      <c r="EJ13" s="42">
        <f t="shared" si="136"/>
        <v>58984</v>
      </c>
      <c r="EK13" s="42">
        <f t="shared" si="77"/>
        <v>43861</v>
      </c>
      <c r="EL13" s="42">
        <f>IF(DM13="","",EC13-SUM($EF$6:EF13)+SUM($DP$6:DP13))</f>
        <v>113300</v>
      </c>
      <c r="EM13" s="42">
        <f>IF(DM13="","",ED13-SUM($EG$6:EG13)+SUM($DQ$6:DQ13))</f>
        <v>547706.25</v>
      </c>
      <c r="EN13" s="42">
        <f>IF(DM13="","",EE13-SUM($EH$6:EH13)+SUM($DR$6:DR13))</f>
        <v>858419.16666666663</v>
      </c>
      <c r="EO13" s="152">
        <f t="shared" si="148"/>
        <v>0.89674948014109468</v>
      </c>
      <c r="EP13" s="43"/>
      <c r="EQ13" s="42">
        <f t="shared" si="78"/>
        <v>448050</v>
      </c>
      <c r="ER13" s="42">
        <f t="shared" si="79"/>
        <v>248100</v>
      </c>
      <c r="ES13" s="42">
        <f t="shared" si="137"/>
        <v>3733.75</v>
      </c>
      <c r="ET13" s="42">
        <f t="shared" si="138"/>
        <v>6122.9807692307695</v>
      </c>
      <c r="EU13" s="42">
        <f t="shared" si="80"/>
        <v>26136</v>
      </c>
      <c r="EV13" s="42">
        <f t="shared" si="81"/>
        <v>42861</v>
      </c>
      <c r="EW13" s="42">
        <f>IF(DM13="","",IF(DS13&gt;0,DS13,EQ13-SUM($ES$6:ES13)+SUM($DS$6:DS13)))</f>
        <v>421913.75</v>
      </c>
      <c r="EX13" s="42">
        <f>IF(DM13="","",IF(DT13&gt;0,DT13,ER13-SUM($ET$6:ET13)+SUM($DT$6:DT13)))</f>
        <v>205239.13461538462</v>
      </c>
      <c r="EY13" s="43">
        <f t="shared" si="82"/>
        <v>0.8272435897435898</v>
      </c>
      <c r="EZ13" s="43">
        <f t="shared" si="83"/>
        <v>0.94166666666666665</v>
      </c>
      <c r="FA13" s="43"/>
      <c r="FB13" s="42">
        <f t="shared" si="84"/>
        <v>4700000</v>
      </c>
      <c r="FC13" s="42">
        <f t="shared" si="85"/>
        <v>5182000</v>
      </c>
      <c r="FD13" s="41">
        <f t="shared" si="139"/>
        <v>54833.333333333336</v>
      </c>
      <c r="FE13" s="41">
        <f t="shared" si="140"/>
        <v>32914.583333333336</v>
      </c>
      <c r="FF13" s="42">
        <f t="shared" si="86"/>
        <v>383833</v>
      </c>
      <c r="FG13" s="42">
        <f t="shared" si="87"/>
        <v>230402</v>
      </c>
      <c r="FH13" s="42">
        <f>IF(DM13="","",IF(DU13&gt;0,DU13,FB13-SUM($FD$6:FD13)+SUM($DU$6:DU13)))</f>
        <v>4316166.666666667</v>
      </c>
      <c r="FI13" s="42">
        <f>IF(DM13="","",FC13-SUM($FE$6:FE13)+SUM($DV$6:DV13)-SUM($DW$6:DW13))</f>
        <v>4951597.916666667</v>
      </c>
      <c r="FJ13" s="152">
        <f t="shared" si="88"/>
        <v>0.93784300580179458</v>
      </c>
      <c r="FL13" s="14"/>
      <c r="FM13" s="14" t="str">
        <f t="shared" si="89"/>
        <v>V2527-A5/S1</v>
      </c>
      <c r="FN13" s="14" t="str">
        <f>""</f>
        <v/>
      </c>
      <c r="FO13" s="14" t="s">
        <v>389</v>
      </c>
      <c r="FP13" s="14" t="s">
        <v>403</v>
      </c>
      <c r="FQ13" s="14" t="s">
        <v>405</v>
      </c>
      <c r="FR13" s="27">
        <v>1.7</v>
      </c>
      <c r="FS13" s="21">
        <v>7.0000000000000007E-2</v>
      </c>
      <c r="FT13" s="21"/>
      <c r="FV13" s="8"/>
      <c r="FW13" s="8">
        <v>144</v>
      </c>
      <c r="FY13" s="82"/>
      <c r="GC13" s="68">
        <f t="shared" si="26"/>
        <v>8</v>
      </c>
      <c r="GD13" s="78">
        <f t="shared" si="27"/>
        <v>0</v>
      </c>
      <c r="GE13" s="309">
        <f t="shared" si="28"/>
        <v>0.92008374432033146</v>
      </c>
      <c r="GF13" s="78">
        <f t="shared" si="29"/>
        <v>0</v>
      </c>
      <c r="GG13" s="310">
        <f t="shared" si="30"/>
        <v>0.88199940587553693</v>
      </c>
      <c r="GH13" s="78">
        <f t="shared" si="31"/>
        <v>0</v>
      </c>
      <c r="GI13" s="310">
        <f t="shared" si="32"/>
        <v>0.93333333333333335</v>
      </c>
      <c r="GJ13" s="311">
        <f t="shared" si="33"/>
        <v>0</v>
      </c>
      <c r="GK13" s="310">
        <f t="shared" si="34"/>
        <v>0.8025641025641026</v>
      </c>
      <c r="GL13" s="311">
        <f t="shared" si="35"/>
        <v>0</v>
      </c>
      <c r="GM13" s="310">
        <f t="shared" si="36"/>
        <v>0.92896343520205082</v>
      </c>
      <c r="GO13" s="266" t="s">
        <v>68</v>
      </c>
      <c r="GP13" s="266" t="s">
        <v>465</v>
      </c>
      <c r="GQ13" s="14">
        <f>IF(GS13="","",COUNT($GS$4:GS13))</f>
        <v>10</v>
      </c>
      <c r="GR13" s="24" t="str">
        <f t="shared" si="150"/>
        <v>10C-Check</v>
      </c>
      <c r="GS13" s="14">
        <f t="shared" si="38"/>
        <v>180</v>
      </c>
      <c r="GU13" s="263">
        <f>IF(GS13="","",$DF$18)</f>
        <v>264480</v>
      </c>
      <c r="HA13" s="14">
        <f>IF(HC13="","",_xlfn.RANK.EQ(HC13,$HC$4:$HC$44,1)+COUNTIF($HC$4:$HC$44,HC13)-COUNTIF($HC$4:HC13,HC13))</f>
        <v>20</v>
      </c>
      <c r="HB13" s="24">
        <f t="shared" si="39"/>
        <v>10</v>
      </c>
      <c r="HC13" s="14">
        <f t="shared" si="0"/>
        <v>180</v>
      </c>
      <c r="HD13" s="24" t="str">
        <f t="shared" si="40"/>
        <v>Airframe</v>
      </c>
      <c r="HE13" s="13" t="str">
        <f t="shared" si="1"/>
        <v>10C-Check</v>
      </c>
      <c r="HF13" s="13" t="str">
        <f t="shared" si="2"/>
        <v>10    Airframe  10C-Check</v>
      </c>
      <c r="HG13" s="13"/>
      <c r="HH13" s="24" t="str">
        <f t="shared" si="3"/>
        <v/>
      </c>
      <c r="HI13" s="66">
        <f t="shared" si="4"/>
        <v>264480</v>
      </c>
      <c r="HJ13" s="82" t="str">
        <f t="shared" si="5"/>
        <v/>
      </c>
      <c r="HK13" s="66" t="str">
        <f t="shared" si="6"/>
        <v/>
      </c>
      <c r="HL13" s="66" t="str">
        <f t="shared" si="7"/>
        <v/>
      </c>
      <c r="HM13" s="66" t="str">
        <f t="shared" si="8"/>
        <v/>
      </c>
      <c r="HN13" s="24">
        <f>IF(HO13="","",HN12+1)</f>
        <v>10</v>
      </c>
      <c r="HO13" s="14">
        <f t="shared" si="9"/>
        <v>108</v>
      </c>
      <c r="HP13" s="24" t="str">
        <f t="shared" si="10"/>
        <v>Airframe</v>
      </c>
      <c r="HQ13" s="24" t="str">
        <f t="shared" si="11"/>
        <v>6C-Check</v>
      </c>
      <c r="HR13" s="13" t="str">
        <f t="shared" si="41"/>
        <v>10       Airframe  6C-Check</v>
      </c>
      <c r="HT13" s="13" t="str">
        <f t="shared" si="12"/>
        <v/>
      </c>
      <c r="HU13" s="75">
        <f t="shared" si="13"/>
        <v>264480</v>
      </c>
      <c r="HV13" s="75" t="str">
        <f t="shared" si="42"/>
        <v/>
      </c>
      <c r="HW13" s="75" t="str">
        <f t="shared" si="14"/>
        <v/>
      </c>
      <c r="HX13" s="75" t="str">
        <f t="shared" si="15"/>
        <v/>
      </c>
      <c r="HY13" s="66" t="str">
        <f t="shared" si="16"/>
        <v/>
      </c>
      <c r="HZ13" s="151" t="str">
        <f t="shared" si="17"/>
        <v>Airframe</v>
      </c>
      <c r="IA13" s="151" t="str">
        <f t="shared" si="18"/>
        <v>10    Airframe  10C-Check</v>
      </c>
      <c r="IB13" s="151"/>
      <c r="IC13" s="149">
        <f t="shared" si="19"/>
        <v>180</v>
      </c>
      <c r="ID13" s="151" t="str">
        <f t="shared" si="20"/>
        <v/>
      </c>
      <c r="IE13" s="33">
        <f t="shared" si="21"/>
        <v>264480</v>
      </c>
      <c r="IF13" s="33" t="str">
        <f t="shared" si="22"/>
        <v/>
      </c>
      <c r="IG13" s="33" t="str">
        <f t="shared" si="23"/>
        <v/>
      </c>
      <c r="IH13" s="33" t="str">
        <f t="shared" si="24"/>
        <v/>
      </c>
      <c r="II13" s="33" t="str">
        <f t="shared" si="25"/>
        <v/>
      </c>
      <c r="IM13" s="13"/>
      <c r="IN13" s="13"/>
      <c r="IO13" s="13"/>
      <c r="IP13" s="13"/>
      <c r="IQ13" s="13"/>
    </row>
    <row r="14" spans="1:251" ht="12" x14ac:dyDescent="0.2">
      <c r="B14" s="556"/>
      <c r="C14" s="26"/>
      <c r="D14" s="26"/>
      <c r="E14" s="26"/>
      <c r="F14" s="26"/>
      <c r="G14" s="26"/>
      <c r="H14" s="26"/>
      <c r="I14" s="26"/>
      <c r="J14" s="26"/>
      <c r="K14" s="26"/>
      <c r="L14" s="26"/>
      <c r="M14" s="26"/>
      <c r="N14" s="26"/>
      <c r="O14" s="26"/>
      <c r="P14" s="26"/>
      <c r="Q14" s="26"/>
      <c r="R14" s="26"/>
      <c r="S14" s="26"/>
      <c r="T14" s="26"/>
      <c r="U14" s="26"/>
      <c r="V14" s="26"/>
      <c r="W14" s="307"/>
      <c r="X14" s="307"/>
      <c r="Y14" s="229"/>
      <c r="AC14" s="20">
        <v>1.8</v>
      </c>
      <c r="AD14" s="18">
        <f>(AD13-($AD$11-$AD$16)/5)</f>
        <v>1.0660000000000003</v>
      </c>
      <c r="AE14" s="18">
        <f>AE13-($AE$11-$AE$16)/5</f>
        <v>0.99199999999999999</v>
      </c>
      <c r="AF14" s="18">
        <f>AF13-($AF$11-$AF$16)/5</f>
        <v>1.0999999999999999</v>
      </c>
      <c r="AG14" s="18">
        <f>AG13-($AG$11-AG18)/5</f>
        <v>0.99440000000000006</v>
      </c>
      <c r="AH14" s="50">
        <f t="shared" si="43"/>
        <v>2331200</v>
      </c>
      <c r="AI14" s="51">
        <f t="shared" si="90"/>
        <v>100.20400000000002</v>
      </c>
      <c r="AJ14" s="50">
        <f t="shared" si="91"/>
        <v>12924.744632061702</v>
      </c>
      <c r="AK14" s="50">
        <f t="shared" si="92"/>
        <v>23264.540337711063</v>
      </c>
      <c r="AL14" s="348">
        <f t="shared" si="143"/>
        <v>2453682</v>
      </c>
      <c r="AM14" s="354">
        <f t="shared" si="93"/>
        <v>169.64062499999997</v>
      </c>
      <c r="AN14" s="348">
        <f t="shared" si="94"/>
        <v>8035.5555555555566</v>
      </c>
      <c r="AO14" s="348">
        <f t="shared" si="95"/>
        <v>14464.000000000002</v>
      </c>
      <c r="AP14" s="7"/>
      <c r="AQ14" s="349">
        <f t="shared" si="96"/>
        <v>1.8</v>
      </c>
      <c r="AR14" s="50">
        <f t="shared" si="45"/>
        <v>2453682</v>
      </c>
      <c r="AS14" s="51">
        <f t="shared" si="46"/>
        <v>169.64062499999997</v>
      </c>
      <c r="AT14" s="348">
        <f t="shared" si="47"/>
        <v>8035.5555555555566</v>
      </c>
      <c r="AU14" s="348">
        <f t="shared" si="48"/>
        <v>14464.000000000002</v>
      </c>
      <c r="AV14" s="350">
        <f t="shared" si="49"/>
        <v>2453682</v>
      </c>
      <c r="AW14" s="349">
        <f t="shared" si="50"/>
        <v>169.64062499999997</v>
      </c>
      <c r="AX14" s="348">
        <f t="shared" si="51"/>
        <v>8000</v>
      </c>
      <c r="AY14" s="348">
        <f t="shared" si="52"/>
        <v>14400</v>
      </c>
      <c r="AZ14" s="7"/>
      <c r="BA14" s="24">
        <f t="shared" si="144"/>
        <v>9</v>
      </c>
      <c r="BB14" s="66">
        <f>IF(VLOOKUP($FW$29,SOURCE!$AH$5:$AJ$50,3,FALSE)="CFM56-5B",SOURCE!BB13,SOURCE!BG13)</f>
        <v>20000</v>
      </c>
      <c r="BC14" s="66">
        <f>IF(VLOOKUP($FW$29,SOURCE!$AH$5:$AJ$50,3,FALSE)="CFM56-5B",SOURCE!BC13,SOURCE!BH13)</f>
        <v>252600</v>
      </c>
      <c r="BD14" s="31">
        <f t="shared" si="97"/>
        <v>12.63</v>
      </c>
      <c r="BE14" s="13"/>
      <c r="BF14" s="13"/>
      <c r="BG14" s="66">
        <f t="shared" si="98"/>
        <v>252600</v>
      </c>
      <c r="BH14" s="66">
        <f t="shared" si="99"/>
        <v>94725</v>
      </c>
      <c r="BI14" s="66">
        <f t="shared" si="149"/>
        <v>20000</v>
      </c>
      <c r="BJ14" s="13"/>
      <c r="BK14" s="13"/>
      <c r="BL14" s="66" t="str">
        <f t="shared" si="100"/>
        <v/>
      </c>
      <c r="BM14" s="66" t="str">
        <f t="shared" si="101"/>
        <v/>
      </c>
      <c r="BN14" s="66">
        <f t="shared" si="102"/>
        <v>12000</v>
      </c>
      <c r="BO14" s="66">
        <f t="shared" si="103"/>
        <v>252600</v>
      </c>
      <c r="BP14" s="66">
        <f t="shared" si="53"/>
        <v>50520</v>
      </c>
      <c r="BQ14" s="66">
        <f t="shared" si="104"/>
        <v>20000</v>
      </c>
      <c r="BR14" s="66" t="str">
        <f t="shared" si="105"/>
        <v/>
      </c>
      <c r="BS14" s="66" t="str">
        <f t="shared" si="106"/>
        <v/>
      </c>
      <c r="BT14" s="66">
        <f t="shared" si="54"/>
        <v>12000</v>
      </c>
      <c r="BU14" s="66">
        <f t="shared" si="107"/>
        <v>252600</v>
      </c>
      <c r="BV14" s="66">
        <f t="shared" si="108"/>
        <v>50520</v>
      </c>
      <c r="BW14" s="66">
        <f t="shared" si="55"/>
        <v>20000</v>
      </c>
      <c r="BX14" s="66" t="str">
        <f t="shared" si="109"/>
        <v/>
      </c>
      <c r="BY14" s="66" t="str">
        <f t="shared" si="56"/>
        <v/>
      </c>
      <c r="BZ14" s="66">
        <f t="shared" si="57"/>
        <v>12000</v>
      </c>
      <c r="CA14" s="66">
        <f t="shared" si="110"/>
        <v>252600</v>
      </c>
      <c r="CB14" s="66">
        <f t="shared" si="58"/>
        <v>50520</v>
      </c>
      <c r="CC14" s="66">
        <f t="shared" si="59"/>
        <v>20000</v>
      </c>
      <c r="CD14" s="66" t="str">
        <f t="shared" si="145"/>
        <v/>
      </c>
      <c r="CE14" s="66" t="str">
        <f t="shared" si="60"/>
        <v/>
      </c>
      <c r="CF14" s="66">
        <f t="shared" si="61"/>
        <v>12000</v>
      </c>
      <c r="CG14" s="66">
        <f t="shared" si="111"/>
        <v>252600</v>
      </c>
      <c r="CH14" s="66">
        <f t="shared" si="62"/>
        <v>50520</v>
      </c>
      <c r="CI14" s="66">
        <f t="shared" si="63"/>
        <v>20000</v>
      </c>
      <c r="CJ14" s="66" t="str">
        <f t="shared" si="112"/>
        <v/>
      </c>
      <c r="CK14" s="66" t="str">
        <f t="shared" si="113"/>
        <v/>
      </c>
      <c r="CL14" s="66">
        <f t="shared" si="64"/>
        <v>12000</v>
      </c>
      <c r="CM14" s="66">
        <f t="shared" si="114"/>
        <v>252600</v>
      </c>
      <c r="CN14" s="66">
        <f t="shared" si="115"/>
        <v>50520</v>
      </c>
      <c r="CO14" s="66">
        <f t="shared" si="116"/>
        <v>20000</v>
      </c>
      <c r="CP14" s="66" t="str">
        <f t="shared" si="117"/>
        <v/>
      </c>
      <c r="CQ14" s="66" t="str">
        <f t="shared" si="118"/>
        <v/>
      </c>
      <c r="CR14" s="66">
        <f t="shared" si="119"/>
        <v>12000</v>
      </c>
      <c r="CS14" s="66">
        <f t="shared" si="120"/>
        <v>252600</v>
      </c>
      <c r="CT14" s="66">
        <f t="shared" si="121"/>
        <v>50520</v>
      </c>
      <c r="CU14" s="66">
        <f t="shared" si="122"/>
        <v>20000</v>
      </c>
      <c r="CV14" s="66" t="str">
        <f t="shared" si="123"/>
        <v/>
      </c>
      <c r="CW14" s="66" t="str">
        <f t="shared" si="124"/>
        <v/>
      </c>
      <c r="CX14" s="66">
        <f t="shared" si="125"/>
        <v>12000</v>
      </c>
      <c r="CY14" s="66">
        <f t="shared" si="126"/>
        <v>252600</v>
      </c>
      <c r="CZ14" s="66">
        <f t="shared" si="127"/>
        <v>50520</v>
      </c>
      <c r="DA14" s="66">
        <f t="shared" si="128"/>
        <v>20000</v>
      </c>
      <c r="DB14" s="9"/>
      <c r="DC14" s="13"/>
      <c r="DD14" s="13"/>
      <c r="DE14" s="13"/>
      <c r="DF14" s="66">
        <f>SUM(DF7:DF11)+2*SUM(DF12:DF13)</f>
        <v>12307520</v>
      </c>
      <c r="DG14" s="13"/>
      <c r="DH14" s="13"/>
      <c r="DI14" s="13"/>
      <c r="DJ14" s="13"/>
      <c r="DK14" s="31">
        <f>SUM(DK6:DK13)</f>
        <v>462.31260073260074</v>
      </c>
      <c r="DL14" s="66"/>
      <c r="DM14" s="44">
        <f t="shared" si="129"/>
        <v>8</v>
      </c>
      <c r="DN14" s="41">
        <f t="shared" si="65"/>
        <v>12272520</v>
      </c>
      <c r="DO14" s="41">
        <f t="shared" si="130"/>
        <v>122596.73076923078</v>
      </c>
      <c r="DP14" s="42">
        <f t="shared" si="66"/>
        <v>0</v>
      </c>
      <c r="DQ14" s="42">
        <f t="shared" si="67"/>
        <v>0</v>
      </c>
      <c r="DR14" s="42">
        <f t="shared" si="68"/>
        <v>0</v>
      </c>
      <c r="DS14" s="42">
        <f t="shared" si="69"/>
        <v>0</v>
      </c>
      <c r="DT14" s="42">
        <f t="shared" si="70"/>
        <v>0</v>
      </c>
      <c r="DU14" s="42">
        <f t="shared" si="71"/>
        <v>0</v>
      </c>
      <c r="DV14" s="42">
        <f t="shared" si="72"/>
        <v>0</v>
      </c>
      <c r="DW14" s="42">
        <f t="shared" si="73"/>
        <v>0</v>
      </c>
      <c r="DX14" s="42">
        <f t="shared" si="74"/>
        <v>980773.84615384601</v>
      </c>
      <c r="DY14" s="42">
        <f>IF(DM14="",DY13,DN14-SUM($DO$6:DO14)+SUM($DP$6:DV14)-SUM($DW$6:DW14))</f>
        <v>11291746.153846154</v>
      </c>
      <c r="DZ14" s="43">
        <f t="shared" si="131"/>
        <v>0.92008374432033146</v>
      </c>
      <c r="EA14" s="43"/>
      <c r="EB14" s="43" t="str">
        <f t="shared" si="146"/>
        <v>True</v>
      </c>
      <c r="EC14" s="41">
        <f t="shared" si="132"/>
        <v>185400</v>
      </c>
      <c r="ED14" s="41">
        <f t="shared" si="133"/>
        <v>606690</v>
      </c>
      <c r="EE14" s="41">
        <f t="shared" si="75"/>
        <v>902280</v>
      </c>
      <c r="EF14" s="41">
        <f t="shared" si="147"/>
        <v>10300</v>
      </c>
      <c r="EG14" s="42">
        <f t="shared" si="134"/>
        <v>8426.25</v>
      </c>
      <c r="EH14" s="42">
        <f t="shared" si="135"/>
        <v>6265.8333333333321</v>
      </c>
      <c r="EI14" s="42">
        <f t="shared" si="76"/>
        <v>82400</v>
      </c>
      <c r="EJ14" s="42">
        <f t="shared" si="136"/>
        <v>67410</v>
      </c>
      <c r="EK14" s="42">
        <f t="shared" si="77"/>
        <v>50127</v>
      </c>
      <c r="EL14" s="42">
        <f>IF(DM14="","",EC14-SUM($EF$6:EF14)+SUM($DP$6:DP14))</f>
        <v>103000</v>
      </c>
      <c r="EM14" s="42">
        <f>IF(DM14="","",ED14-SUM($EG$6:EG14)+SUM($DQ$6:DQ14))</f>
        <v>539280</v>
      </c>
      <c r="EN14" s="42">
        <f>IF(DM14="","",EE14-SUM($EH$6:EH14)+SUM($DR$6:DR14))</f>
        <v>852153.33333333337</v>
      </c>
      <c r="EO14" s="152">
        <f t="shared" si="148"/>
        <v>0.88199940587553693</v>
      </c>
      <c r="EP14" s="43"/>
      <c r="EQ14" s="42">
        <f t="shared" si="78"/>
        <v>448050</v>
      </c>
      <c r="ER14" s="42">
        <f t="shared" si="79"/>
        <v>248100</v>
      </c>
      <c r="ES14" s="42">
        <f t="shared" si="137"/>
        <v>3733.75</v>
      </c>
      <c r="ET14" s="42">
        <f t="shared" si="138"/>
        <v>6122.9807692307695</v>
      </c>
      <c r="EU14" s="42">
        <f t="shared" si="80"/>
        <v>29870</v>
      </c>
      <c r="EV14" s="42">
        <f t="shared" si="81"/>
        <v>48984</v>
      </c>
      <c r="EW14" s="42">
        <f>IF(DM14="","",IF(DS14&gt;0,DS14,EQ14-SUM($ES$6:ES14)+SUM($DS$6:DS14)))</f>
        <v>418180</v>
      </c>
      <c r="EX14" s="42">
        <f>IF(DM14="","",IF(DT14&gt;0,DT14,ER14-SUM($ET$6:ET14)+SUM($DT$6:DT14)))</f>
        <v>199116.15384615384</v>
      </c>
      <c r="EY14" s="43">
        <f t="shared" si="82"/>
        <v>0.8025641025641026</v>
      </c>
      <c r="EZ14" s="43">
        <f t="shared" si="83"/>
        <v>0.93333333333333335</v>
      </c>
      <c r="FA14" s="43"/>
      <c r="FB14" s="42">
        <f t="shared" si="84"/>
        <v>4700000</v>
      </c>
      <c r="FC14" s="42">
        <f t="shared" si="85"/>
        <v>5182000</v>
      </c>
      <c r="FD14" s="41">
        <f t="shared" si="139"/>
        <v>54833.333333333336</v>
      </c>
      <c r="FE14" s="41">
        <f t="shared" si="140"/>
        <v>32914.583333333336</v>
      </c>
      <c r="FF14" s="42">
        <f t="shared" si="86"/>
        <v>438667</v>
      </c>
      <c r="FG14" s="42">
        <f t="shared" si="87"/>
        <v>263317</v>
      </c>
      <c r="FH14" s="42">
        <f>IF(DM14="","",IF(DU14&gt;0,DU14,FB14-SUM($FD$6:FD14)+SUM($DU$6:DU14)))</f>
        <v>4261333.333333333</v>
      </c>
      <c r="FI14" s="42">
        <f>IF(DM14="","",FC14-SUM($FE$6:FE14)+SUM($DV$6:DV14)-SUM($DW$6:DW14))</f>
        <v>4918683.333333333</v>
      </c>
      <c r="FJ14" s="152">
        <f t="shared" si="88"/>
        <v>0.92896343520205082</v>
      </c>
      <c r="FL14" s="5"/>
      <c r="FM14" s="14" t="str">
        <f t="shared" si="89"/>
        <v/>
      </c>
      <c r="FN14" s="14" t="str">
        <f>""</f>
        <v/>
      </c>
      <c r="FO14" s="14" t="s">
        <v>390</v>
      </c>
      <c r="FP14" s="14" t="str">
        <f>""</f>
        <v/>
      </c>
      <c r="FQ14" s="14" t="s">
        <v>406</v>
      </c>
      <c r="FR14" s="27">
        <v>1.8</v>
      </c>
      <c r="FS14" s="21">
        <v>0.08</v>
      </c>
      <c r="FT14" s="21"/>
      <c r="FV14" s="8"/>
      <c r="FW14" s="8">
        <v>156</v>
      </c>
      <c r="FY14" s="69"/>
      <c r="GC14" s="68">
        <f t="shared" si="26"/>
        <v>9</v>
      </c>
      <c r="GD14" s="78">
        <f t="shared" si="27"/>
        <v>0</v>
      </c>
      <c r="GE14" s="309">
        <f t="shared" si="28"/>
        <v>0.91009421236037291</v>
      </c>
      <c r="GF14" s="78">
        <f t="shared" si="29"/>
        <v>0</v>
      </c>
      <c r="GG14" s="310">
        <f t="shared" si="30"/>
        <v>0.86724933160997897</v>
      </c>
      <c r="GH14" s="78">
        <f t="shared" si="31"/>
        <v>0</v>
      </c>
      <c r="GI14" s="310">
        <f t="shared" si="32"/>
        <v>0.92500000000000004</v>
      </c>
      <c r="GJ14" s="311">
        <f t="shared" si="33"/>
        <v>0</v>
      </c>
      <c r="GK14" s="310">
        <f t="shared" si="34"/>
        <v>0.77788461538461529</v>
      </c>
      <c r="GL14" s="311">
        <f t="shared" si="35"/>
        <v>0</v>
      </c>
      <c r="GM14" s="310">
        <f t="shared" si="36"/>
        <v>0.92008386460230718</v>
      </c>
      <c r="GO14" s="266" t="s">
        <v>68</v>
      </c>
      <c r="GP14" s="266" t="s">
        <v>455</v>
      </c>
      <c r="GQ14" s="14">
        <f>IF(GS14="","",COUNT($GS$4:GS14))</f>
        <v>11</v>
      </c>
      <c r="GR14" s="24" t="str">
        <f t="shared" si="150"/>
        <v>6Y SI</v>
      </c>
      <c r="GS14" s="14">
        <f>IF(ROUND(DI8,0)&lt;=$FW$23,DI8,"")</f>
        <v>72</v>
      </c>
      <c r="GU14" s="66">
        <f>IF(GS14="","",DF8)</f>
        <v>606690</v>
      </c>
      <c r="GV14" s="264"/>
      <c r="GW14" s="264"/>
      <c r="GX14" s="13"/>
      <c r="GY14" s="14"/>
      <c r="GZ14" s="13"/>
      <c r="HA14" s="14">
        <f>IF(HC14="","",_xlfn.RANK.EQ(HC14,$HC$4:$HC$44,1)+COUNTIF($HC$4:$HC$44,HC14)-COUNTIF($HC$4:HC14,HC14))</f>
        <v>5</v>
      </c>
      <c r="HB14" s="24">
        <f t="shared" si="39"/>
        <v>11</v>
      </c>
      <c r="HC14" s="14">
        <f t="shared" si="0"/>
        <v>72</v>
      </c>
      <c r="HD14" s="24" t="str">
        <f t="shared" si="40"/>
        <v>Airframe</v>
      </c>
      <c r="HE14" s="13" t="str">
        <f t="shared" si="1"/>
        <v>6Y SI</v>
      </c>
      <c r="HF14" s="13" t="str">
        <f>IF(HB14="","",IF(HB14&lt;10,HB14&amp;"       "&amp;HD14&amp;"  "&amp;HE14,HB14&amp;"    "&amp;HD14&amp;"  "&amp;HE14))</f>
        <v>11    Airframe  6Y SI</v>
      </c>
      <c r="HG14" s="13"/>
      <c r="HH14" s="24" t="str">
        <f t="shared" si="3"/>
        <v/>
      </c>
      <c r="HI14" s="66">
        <f t="shared" si="4"/>
        <v>606690</v>
      </c>
      <c r="HJ14" s="82" t="str">
        <f t="shared" si="5"/>
        <v/>
      </c>
      <c r="HK14" s="66" t="str">
        <f t="shared" si="6"/>
        <v/>
      </c>
      <c r="HL14" s="66" t="str">
        <f t="shared" si="7"/>
        <v/>
      </c>
      <c r="HM14" s="66" t="str">
        <f t="shared" si="8"/>
        <v/>
      </c>
      <c r="HN14" s="24">
        <f>IF(HO14="","",HN13+1)</f>
        <v>11</v>
      </c>
      <c r="HO14" s="14">
        <f t="shared" si="9"/>
        <v>120</v>
      </c>
      <c r="HP14" s="24" t="str">
        <f t="shared" si="10"/>
        <v>Gear</v>
      </c>
      <c r="HQ14" s="24" t="str">
        <f t="shared" si="11"/>
        <v>Overhaul</v>
      </c>
      <c r="HR14" s="13" t="str">
        <f t="shared" si="41"/>
        <v>11       Gear  Overhaul</v>
      </c>
      <c r="HT14" s="13" t="str">
        <f t="shared" si="12"/>
        <v/>
      </c>
      <c r="HU14" s="75">
        <f t="shared" si="13"/>
        <v>448050</v>
      </c>
      <c r="HV14" s="75" t="str">
        <f t="shared" si="42"/>
        <v/>
      </c>
      <c r="HW14" s="75" t="str">
        <f t="shared" si="14"/>
        <v/>
      </c>
      <c r="HX14" s="75" t="str">
        <f t="shared" si="15"/>
        <v/>
      </c>
      <c r="HY14" s="66" t="str">
        <f t="shared" si="16"/>
        <v/>
      </c>
      <c r="HZ14" s="151" t="str">
        <f t="shared" si="17"/>
        <v>Airframe</v>
      </c>
      <c r="IA14" s="151" t="str">
        <f t="shared" si="18"/>
        <v>11    Airframe  6Y SI</v>
      </c>
      <c r="IB14" s="151"/>
      <c r="IC14" s="149">
        <f t="shared" si="19"/>
        <v>72</v>
      </c>
      <c r="ID14" s="151" t="str">
        <f t="shared" si="20"/>
        <v/>
      </c>
      <c r="IE14" s="33">
        <f t="shared" si="21"/>
        <v>606690</v>
      </c>
      <c r="IF14" s="33" t="str">
        <f t="shared" si="22"/>
        <v/>
      </c>
      <c r="IG14" s="33" t="str">
        <f t="shared" si="23"/>
        <v/>
      </c>
      <c r="IH14" s="33" t="str">
        <f t="shared" si="24"/>
        <v/>
      </c>
      <c r="II14" s="33" t="str">
        <f t="shared" si="25"/>
        <v/>
      </c>
      <c r="IM14" s="13"/>
      <c r="IN14" s="13"/>
      <c r="IO14" s="13"/>
      <c r="IP14" s="13"/>
      <c r="IQ14" s="13"/>
    </row>
    <row r="15" spans="1:251" ht="12" x14ac:dyDescent="0.2">
      <c r="A15" s="9"/>
      <c r="B15" s="556"/>
      <c r="C15" s="26"/>
      <c r="D15" s="26"/>
      <c r="E15" s="26"/>
      <c r="F15" s="26"/>
      <c r="G15" s="26"/>
      <c r="H15" s="26"/>
      <c r="I15" s="26"/>
      <c r="J15" s="26"/>
      <c r="K15" s="26"/>
      <c r="L15" s="26"/>
      <c r="M15" s="26"/>
      <c r="N15" s="26"/>
      <c r="O15" s="26"/>
      <c r="P15" s="26"/>
      <c r="Q15" s="26"/>
      <c r="R15" s="26"/>
      <c r="S15" s="26"/>
      <c r="T15" s="26"/>
      <c r="U15" s="26"/>
      <c r="V15" s="26"/>
      <c r="W15" s="307"/>
      <c r="X15" s="307"/>
      <c r="Y15" s="229"/>
      <c r="AC15" s="20">
        <v>1.9</v>
      </c>
      <c r="AD15" s="18">
        <f>(AD14-($AD$11-$AD$16)/5)</f>
        <v>1.0330000000000004</v>
      </c>
      <c r="AE15" s="18">
        <f>AE14-($AE$11-$AE$16)/5</f>
        <v>0.996</v>
      </c>
      <c r="AF15" s="18">
        <f>AF14-($AF$11-$AF$16)/5</f>
        <v>1.0499999999999998</v>
      </c>
      <c r="AG15" s="18">
        <f>AG14-($AG$11-AG19)/5</f>
        <v>1.0008000000000001</v>
      </c>
      <c r="AH15" s="50">
        <f>$AH$16*$AE15</f>
        <v>2340600</v>
      </c>
      <c r="AI15" s="51">
        <f>$AI$16*$AD15</f>
        <v>97.102000000000032</v>
      </c>
      <c r="AJ15" s="50">
        <f t="shared" si="91"/>
        <v>12686.605186732559</v>
      </c>
      <c r="AK15" s="50">
        <f t="shared" si="92"/>
        <v>24104.549854791861</v>
      </c>
      <c r="AL15" s="348">
        <f>IF($AQ$3="",AR15,AV15)</f>
        <v>2469474.0000000005</v>
      </c>
      <c r="AM15" s="354">
        <f t="shared" si="93"/>
        <v>161.92968749999997</v>
      </c>
      <c r="AN15" s="348">
        <f t="shared" si="94"/>
        <v>8026.4661654135371</v>
      </c>
      <c r="AO15" s="348">
        <f t="shared" si="95"/>
        <v>15250.285714285719</v>
      </c>
      <c r="AP15" s="7"/>
      <c r="AQ15" s="349">
        <f t="shared" si="96"/>
        <v>1.9</v>
      </c>
      <c r="AR15" s="50">
        <f>$AR$16*$AG15</f>
        <v>2469474.0000000005</v>
      </c>
      <c r="AS15" s="51">
        <f>$AS$16*$AF15</f>
        <v>161.92968749999997</v>
      </c>
      <c r="AT15" s="348">
        <f>AU15/$AC15</f>
        <v>8026.4661654135371</v>
      </c>
      <c r="AU15" s="348">
        <f t="shared" si="48"/>
        <v>15250.285714285719</v>
      </c>
      <c r="AV15" s="350">
        <f t="shared" si="49"/>
        <v>2469474.0000000005</v>
      </c>
      <c r="AW15" s="349">
        <f>$AW$16*$AF15</f>
        <v>161.92968749999997</v>
      </c>
      <c r="AX15" s="348">
        <f>AX16</f>
        <v>8000</v>
      </c>
      <c r="AY15" s="348">
        <f>AX15*AQ15</f>
        <v>15200</v>
      </c>
      <c r="AZ15" s="7"/>
      <c r="BA15" s="24">
        <f t="shared" si="144"/>
        <v>10</v>
      </c>
      <c r="BB15" s="66">
        <f>IF(VLOOKUP($FW$29,SOURCE!$AH$5:$AJ$50,3,FALSE)="CFM56-5B",SOURCE!BB14,SOURCE!BG14)</f>
        <v>20000</v>
      </c>
      <c r="BC15" s="66">
        <f>IF(VLOOKUP($FW$29,SOURCE!$AH$5:$AJ$50,3,FALSE)="CFM56-5B",SOURCE!BC14,SOURCE!BH14)</f>
        <v>228400</v>
      </c>
      <c r="BD15" s="31">
        <f t="shared" si="97"/>
        <v>11.42</v>
      </c>
      <c r="BE15" s="13"/>
      <c r="BF15" s="13"/>
      <c r="BG15" s="66">
        <f t="shared" si="98"/>
        <v>228400</v>
      </c>
      <c r="BH15" s="66">
        <f t="shared" si="99"/>
        <v>85650</v>
      </c>
      <c r="BI15" s="66">
        <f t="shared" si="149"/>
        <v>20000</v>
      </c>
      <c r="BJ15" s="13"/>
      <c r="BK15" s="13"/>
      <c r="BL15" s="66" t="str">
        <f t="shared" si="100"/>
        <v/>
      </c>
      <c r="BM15" s="66" t="str">
        <f t="shared" si="101"/>
        <v/>
      </c>
      <c r="BN15" s="66">
        <f t="shared" si="102"/>
        <v>12000</v>
      </c>
      <c r="BO15" s="66">
        <f t="shared" si="103"/>
        <v>228400</v>
      </c>
      <c r="BP15" s="66">
        <f t="shared" si="53"/>
        <v>45680</v>
      </c>
      <c r="BQ15" s="66">
        <f t="shared" si="104"/>
        <v>20000</v>
      </c>
      <c r="BR15" s="66" t="str">
        <f t="shared" si="105"/>
        <v/>
      </c>
      <c r="BS15" s="66" t="str">
        <f t="shared" si="106"/>
        <v/>
      </c>
      <c r="BT15" s="66">
        <f t="shared" si="54"/>
        <v>12000</v>
      </c>
      <c r="BU15" s="66">
        <f t="shared" si="107"/>
        <v>228400</v>
      </c>
      <c r="BV15" s="66">
        <f t="shared" si="108"/>
        <v>45680</v>
      </c>
      <c r="BW15" s="66">
        <f t="shared" si="55"/>
        <v>20000</v>
      </c>
      <c r="BX15" s="66" t="str">
        <f t="shared" si="109"/>
        <v/>
      </c>
      <c r="BY15" s="66" t="str">
        <f t="shared" si="56"/>
        <v/>
      </c>
      <c r="BZ15" s="66">
        <f t="shared" si="57"/>
        <v>12000</v>
      </c>
      <c r="CA15" s="66">
        <f t="shared" si="110"/>
        <v>228400</v>
      </c>
      <c r="CB15" s="66">
        <f t="shared" si="58"/>
        <v>45680</v>
      </c>
      <c r="CC15" s="66">
        <f t="shared" si="59"/>
        <v>20000</v>
      </c>
      <c r="CD15" s="66" t="str">
        <f t="shared" si="145"/>
        <v/>
      </c>
      <c r="CE15" s="66" t="str">
        <f t="shared" si="60"/>
        <v/>
      </c>
      <c r="CF15" s="66">
        <f t="shared" si="61"/>
        <v>12000</v>
      </c>
      <c r="CG15" s="66">
        <f t="shared" si="111"/>
        <v>228400</v>
      </c>
      <c r="CH15" s="66">
        <f t="shared" si="62"/>
        <v>45680</v>
      </c>
      <c r="CI15" s="66">
        <f t="shared" si="63"/>
        <v>20000</v>
      </c>
      <c r="CJ15" s="66" t="str">
        <f t="shared" si="112"/>
        <v/>
      </c>
      <c r="CK15" s="66" t="str">
        <f t="shared" si="113"/>
        <v/>
      </c>
      <c r="CL15" s="66">
        <f t="shared" si="64"/>
        <v>12000</v>
      </c>
      <c r="CM15" s="66">
        <f t="shared" si="114"/>
        <v>228400</v>
      </c>
      <c r="CN15" s="66">
        <f t="shared" si="115"/>
        <v>45680</v>
      </c>
      <c r="CO15" s="66">
        <f t="shared" si="116"/>
        <v>20000</v>
      </c>
      <c r="CP15" s="66" t="str">
        <f t="shared" si="117"/>
        <v/>
      </c>
      <c r="CQ15" s="66" t="str">
        <f t="shared" si="118"/>
        <v/>
      </c>
      <c r="CR15" s="66">
        <f t="shared" si="119"/>
        <v>12000</v>
      </c>
      <c r="CS15" s="66">
        <f t="shared" si="120"/>
        <v>228400</v>
      </c>
      <c r="CT15" s="66">
        <f t="shared" si="121"/>
        <v>45680</v>
      </c>
      <c r="CU15" s="66">
        <f t="shared" si="122"/>
        <v>20000</v>
      </c>
      <c r="CV15" s="66" t="str">
        <f t="shared" si="123"/>
        <v/>
      </c>
      <c r="CW15" s="66" t="str">
        <f t="shared" si="124"/>
        <v/>
      </c>
      <c r="CX15" s="66">
        <f t="shared" si="125"/>
        <v>12000</v>
      </c>
      <c r="CY15" s="66">
        <f t="shared" si="126"/>
        <v>228400</v>
      </c>
      <c r="CZ15" s="66">
        <f t="shared" si="127"/>
        <v>45680</v>
      </c>
      <c r="DA15" s="66">
        <f t="shared" si="128"/>
        <v>20000</v>
      </c>
      <c r="DB15" s="9"/>
      <c r="DC15" s="269" t="s">
        <v>279</v>
      </c>
      <c r="DD15" s="270"/>
      <c r="DE15" s="271" t="s">
        <v>277</v>
      </c>
      <c r="DF15" s="272" t="s">
        <v>2</v>
      </c>
      <c r="DG15" s="274" t="s">
        <v>57</v>
      </c>
      <c r="DH15" s="275"/>
      <c r="DI15" s="268"/>
      <c r="DJ15" s="272" t="s">
        <v>58</v>
      </c>
      <c r="DK15" s="273" t="s">
        <v>64</v>
      </c>
      <c r="DM15" s="44">
        <f t="shared" si="129"/>
        <v>9</v>
      </c>
      <c r="DN15" s="41">
        <f t="shared" si="65"/>
        <v>12272520</v>
      </c>
      <c r="DO15" s="41">
        <f t="shared" si="130"/>
        <v>122596.73076923078</v>
      </c>
      <c r="DP15" s="42">
        <f t="shared" si="66"/>
        <v>0</v>
      </c>
      <c r="DQ15" s="42">
        <f t="shared" si="67"/>
        <v>0</v>
      </c>
      <c r="DR15" s="42">
        <f t="shared" si="68"/>
        <v>0</v>
      </c>
      <c r="DS15" s="42">
        <f t="shared" si="69"/>
        <v>0</v>
      </c>
      <c r="DT15" s="42">
        <f t="shared" si="70"/>
        <v>0</v>
      </c>
      <c r="DU15" s="42">
        <f t="shared" si="71"/>
        <v>0</v>
      </c>
      <c r="DV15" s="42">
        <f t="shared" si="72"/>
        <v>0</v>
      </c>
      <c r="DW15" s="42">
        <f t="shared" si="73"/>
        <v>0</v>
      </c>
      <c r="DX15" s="42">
        <f t="shared" si="74"/>
        <v>1103370.5769230761</v>
      </c>
      <c r="DY15" s="42">
        <f>IF(DM15="",DY14,DN15-SUM($DO$6:DO15)+SUM($DP$6:DV15)-SUM($DW$6:DW15))</f>
        <v>11169149.423076924</v>
      </c>
      <c r="DZ15" s="43">
        <f t="shared" si="131"/>
        <v>0.91009421236037291</v>
      </c>
      <c r="EA15" s="43"/>
      <c r="EB15" s="43" t="str">
        <f t="shared" si="146"/>
        <v>True</v>
      </c>
      <c r="EC15" s="41">
        <f t="shared" si="132"/>
        <v>185400</v>
      </c>
      <c r="ED15" s="41">
        <f t="shared" si="133"/>
        <v>606690</v>
      </c>
      <c r="EE15" s="41">
        <f t="shared" si="75"/>
        <v>902280</v>
      </c>
      <c r="EF15" s="41">
        <f t="shared" si="147"/>
        <v>10300</v>
      </c>
      <c r="EG15" s="42">
        <f t="shared" si="134"/>
        <v>8426.25</v>
      </c>
      <c r="EH15" s="42">
        <f t="shared" si="135"/>
        <v>6265.8333333333321</v>
      </c>
      <c r="EI15" s="42">
        <f t="shared" si="76"/>
        <v>92700</v>
      </c>
      <c r="EJ15" s="42">
        <f t="shared" si="136"/>
        <v>75836</v>
      </c>
      <c r="EK15" s="42">
        <f t="shared" si="77"/>
        <v>56393</v>
      </c>
      <c r="EL15" s="42">
        <f>IF(DM15="","",EC15-SUM($EF$6:EF15)+SUM($DP$6:DP15))</f>
        <v>92700</v>
      </c>
      <c r="EM15" s="42">
        <f>IF(DM15="","",ED15-SUM($EG$6:EG15)+SUM($DQ$6:DQ15))</f>
        <v>530853.75</v>
      </c>
      <c r="EN15" s="42">
        <f>IF(DM15="","",EE15-SUM($EH$6:EH15)+SUM($DR$6:DR15))</f>
        <v>845887.5</v>
      </c>
      <c r="EO15" s="152">
        <f t="shared" si="148"/>
        <v>0.86724933160997897</v>
      </c>
      <c r="EP15" s="43"/>
      <c r="EQ15" s="42">
        <f t="shared" si="78"/>
        <v>448050</v>
      </c>
      <c r="ER15" s="42">
        <f t="shared" si="79"/>
        <v>248100</v>
      </c>
      <c r="ES15" s="42">
        <f t="shared" si="137"/>
        <v>3733.75</v>
      </c>
      <c r="ET15" s="42">
        <f t="shared" si="138"/>
        <v>6122.9807692307695</v>
      </c>
      <c r="EU15" s="42">
        <f t="shared" si="80"/>
        <v>33604</v>
      </c>
      <c r="EV15" s="42">
        <f t="shared" si="81"/>
        <v>55107</v>
      </c>
      <c r="EW15" s="42">
        <f>IF(DM15="","",IF(DS15&gt;0,DS15,EQ15-SUM($ES$6:ES15)+SUM($DS$6:DS15)))</f>
        <v>414446.25</v>
      </c>
      <c r="EX15" s="42">
        <f>IF(DM15="","",IF(DT15&gt;0,DT15,ER15-SUM($ET$6:ET15)+SUM($DT$6:DT15)))</f>
        <v>192993.17307692306</v>
      </c>
      <c r="EY15" s="43">
        <f t="shared" si="82"/>
        <v>0.77788461538461529</v>
      </c>
      <c r="EZ15" s="43">
        <f t="shared" si="83"/>
        <v>0.92500000000000004</v>
      </c>
      <c r="FA15" s="43"/>
      <c r="FB15" s="42">
        <f t="shared" si="84"/>
        <v>4700000</v>
      </c>
      <c r="FC15" s="42">
        <f t="shared" si="85"/>
        <v>5182000</v>
      </c>
      <c r="FD15" s="41">
        <f t="shared" si="139"/>
        <v>54833.333333333336</v>
      </c>
      <c r="FE15" s="41">
        <f t="shared" si="140"/>
        <v>32914.583333333336</v>
      </c>
      <c r="FF15" s="42">
        <f t="shared" si="86"/>
        <v>493500</v>
      </c>
      <c r="FG15" s="42">
        <f t="shared" si="87"/>
        <v>296231</v>
      </c>
      <c r="FH15" s="42">
        <f>IF(DM15="","",IF(DU15&gt;0,DU15,FB15-SUM($FD$6:FD15)+SUM($DU$6:DU15)))</f>
        <v>4206500</v>
      </c>
      <c r="FI15" s="42">
        <f>IF(DM15="","",FC15-SUM($FE$6:FE15)+SUM($DV$6:DV15)-SUM($DW$6:DW15))</f>
        <v>4885768.75</v>
      </c>
      <c r="FJ15" s="152">
        <f t="shared" si="88"/>
        <v>0.92008386460230718</v>
      </c>
      <c r="FL15" s="14"/>
      <c r="FM15" s="14" t="str">
        <f t="shared" si="89"/>
        <v/>
      </c>
      <c r="FN15" s="14" t="str">
        <f>""</f>
        <v/>
      </c>
      <c r="FO15" s="14" t="s">
        <v>391</v>
      </c>
      <c r="FP15" s="14" t="str">
        <f>""</f>
        <v/>
      </c>
      <c r="FQ15" s="14" t="s">
        <v>407</v>
      </c>
      <c r="FR15" s="27">
        <v>1.9</v>
      </c>
      <c r="FS15" s="21">
        <v>0.09</v>
      </c>
      <c r="FT15" s="21"/>
      <c r="FU15" s="21"/>
      <c r="FV15" s="8"/>
      <c r="FW15" s="8">
        <v>168</v>
      </c>
      <c r="FY15" s="69"/>
      <c r="GC15" s="68">
        <f t="shared" si="26"/>
        <v>10</v>
      </c>
      <c r="GD15" s="78">
        <f t="shared" si="27"/>
        <v>0</v>
      </c>
      <c r="GE15" s="309">
        <f t="shared" si="28"/>
        <v>0.90010468040041425</v>
      </c>
      <c r="GF15" s="78">
        <f t="shared" si="29"/>
        <v>0</v>
      </c>
      <c r="GG15" s="310">
        <f t="shared" si="30"/>
        <v>0.85249925734442111</v>
      </c>
      <c r="GH15" s="78">
        <f t="shared" si="31"/>
        <v>0</v>
      </c>
      <c r="GI15" s="310">
        <f t="shared" si="32"/>
        <v>0.91666666666666663</v>
      </c>
      <c r="GJ15" s="311">
        <f t="shared" si="33"/>
        <v>0</v>
      </c>
      <c r="GK15" s="310">
        <f t="shared" si="34"/>
        <v>0.75320512820512819</v>
      </c>
      <c r="GL15" s="311">
        <f t="shared" si="35"/>
        <v>0</v>
      </c>
      <c r="GM15" s="310">
        <f t="shared" si="36"/>
        <v>0.91120429400256364</v>
      </c>
      <c r="GO15" s="266" t="s">
        <v>68</v>
      </c>
      <c r="GP15" s="266" t="s">
        <v>455</v>
      </c>
      <c r="GQ15" s="14">
        <f>IF(GS15="","",COUNT($GS$4:GS15))</f>
        <v>12</v>
      </c>
      <c r="GR15" s="24" t="str">
        <f t="shared" si="150"/>
        <v>6Y SI</v>
      </c>
      <c r="GS15" s="14">
        <f>IF(ROUND(DI9,0)&lt;=$FW$23,DI9,"")</f>
        <v>144</v>
      </c>
      <c r="GU15" s="66">
        <f>IF(GS15="","",DF19)</f>
        <v>686673.49999999988</v>
      </c>
      <c r="GV15" s="264"/>
      <c r="GW15" s="264"/>
      <c r="GX15" s="13"/>
      <c r="GY15" s="14"/>
      <c r="GZ15" s="13"/>
      <c r="HA15" s="14">
        <f>IF(HC15="","",_xlfn.RANK.EQ(HC15,$HC$4:$HC$44,1)+COUNTIF($HC$4:$HC$44,HC15)-COUNTIF($HC$4:HC15,HC15))</f>
        <v>16</v>
      </c>
      <c r="HB15" s="24">
        <f t="shared" si="39"/>
        <v>12</v>
      </c>
      <c r="HC15" s="14">
        <f t="shared" si="0"/>
        <v>144</v>
      </c>
      <c r="HD15" s="24" t="str">
        <f t="shared" si="40"/>
        <v>Airframe</v>
      </c>
      <c r="HE15" s="13" t="str">
        <f t="shared" si="1"/>
        <v>6Y SI</v>
      </c>
      <c r="HF15" s="13" t="str">
        <f>IF(HB15="","",IF(HB15&lt;10,HB15&amp;"       "&amp;HD15&amp;"  "&amp;HE15,HB15&amp;"    "&amp;HD15&amp;"  "&amp;HE15))</f>
        <v>12    Airframe  6Y SI</v>
      </c>
      <c r="HG15" s="13"/>
      <c r="HH15" s="24" t="str">
        <f t="shared" si="3"/>
        <v/>
      </c>
      <c r="HI15" s="66">
        <f t="shared" si="4"/>
        <v>686673.49999999988</v>
      </c>
      <c r="HJ15" s="82" t="str">
        <f t="shared" si="5"/>
        <v/>
      </c>
      <c r="HK15" s="66" t="str">
        <f t="shared" si="6"/>
        <v/>
      </c>
      <c r="HL15" s="66" t="str">
        <f t="shared" si="7"/>
        <v/>
      </c>
      <c r="HM15" s="66" t="str">
        <f t="shared" si="8"/>
        <v/>
      </c>
      <c r="HN15" s="24">
        <f t="shared" si="141"/>
        <v>12</v>
      </c>
      <c r="HO15" s="14">
        <f t="shared" si="9"/>
        <v>123</v>
      </c>
      <c r="HP15" s="24" t="str">
        <f t="shared" si="10"/>
        <v>APU</v>
      </c>
      <c r="HQ15" s="24" t="str">
        <f t="shared" si="11"/>
        <v>SV</v>
      </c>
      <c r="HR15" s="13" t="str">
        <f t="shared" ref="HR15:HR21" si="151">IF(HN15="","",HN15&amp;"       "&amp;HP15&amp;"  "&amp;HQ15)</f>
        <v>12       APU  SV</v>
      </c>
      <c r="HT15" s="13" t="str">
        <f t="shared" si="12"/>
        <v/>
      </c>
      <c r="HU15" s="75">
        <f t="shared" si="13"/>
        <v>248100</v>
      </c>
      <c r="HV15" s="75" t="str">
        <f t="shared" si="42"/>
        <v/>
      </c>
      <c r="HW15" s="75" t="str">
        <f t="shared" si="14"/>
        <v/>
      </c>
      <c r="HX15" s="75" t="str">
        <f t="shared" si="15"/>
        <v/>
      </c>
      <c r="HY15" s="66" t="str">
        <f t="shared" si="16"/>
        <v/>
      </c>
      <c r="HZ15" s="151" t="str">
        <f t="shared" si="17"/>
        <v>Airframe</v>
      </c>
      <c r="IA15" s="151" t="str">
        <f t="shared" si="18"/>
        <v>12    Airframe  6Y SI</v>
      </c>
      <c r="IB15" s="151"/>
      <c r="IC15" s="149">
        <f t="shared" si="19"/>
        <v>144</v>
      </c>
      <c r="ID15" s="151" t="str">
        <f t="shared" si="20"/>
        <v/>
      </c>
      <c r="IE15" s="33">
        <f t="shared" si="21"/>
        <v>686673.49999999988</v>
      </c>
      <c r="IF15" s="33" t="str">
        <f t="shared" si="22"/>
        <v/>
      </c>
      <c r="IG15" s="33" t="str">
        <f t="shared" si="23"/>
        <v/>
      </c>
      <c r="IH15" s="33" t="str">
        <f t="shared" si="24"/>
        <v/>
      </c>
      <c r="II15" s="33" t="str">
        <f t="shared" si="25"/>
        <v/>
      </c>
      <c r="IM15" s="13"/>
      <c r="IN15" s="13"/>
      <c r="IO15" s="13"/>
      <c r="IP15" s="13"/>
      <c r="IQ15" s="13"/>
    </row>
    <row r="16" spans="1:251" ht="12" x14ac:dyDescent="0.2">
      <c r="B16" s="556"/>
      <c r="C16" s="26"/>
      <c r="D16" s="26"/>
      <c r="E16" s="26"/>
      <c r="F16" s="26"/>
      <c r="G16" s="26"/>
      <c r="H16" s="26"/>
      <c r="I16" s="26"/>
      <c r="J16" s="26"/>
      <c r="K16" s="26"/>
      <c r="L16" s="26"/>
      <c r="M16" s="26"/>
      <c r="N16" s="26"/>
      <c r="O16" s="26"/>
      <c r="P16" s="26"/>
      <c r="Q16" s="26"/>
      <c r="R16" s="26"/>
      <c r="S16" s="26"/>
      <c r="T16" s="26"/>
      <c r="U16" s="26"/>
      <c r="V16" s="26"/>
      <c r="W16" s="307"/>
      <c r="X16" s="307"/>
      <c r="Y16" s="229"/>
      <c r="AC16" s="139">
        <v>2</v>
      </c>
      <c r="AD16" s="140">
        <v>1</v>
      </c>
      <c r="AE16" s="140">
        <v>1</v>
      </c>
      <c r="AF16" s="140">
        <v>1</v>
      </c>
      <c r="AG16" s="140">
        <v>1</v>
      </c>
      <c r="AH16" s="141">
        <f>VLOOKUP($FW$29,SOURCE!$AH$5:$AX$49,7,FALSE)*AE16</f>
        <v>2350000</v>
      </c>
      <c r="AI16" s="139">
        <f>VLOOKUP($FW$29,SOURCE!$AH$5:$AX$49,8,FALSE)*AD16*$FY$6</f>
        <v>94</v>
      </c>
      <c r="AJ16" s="141">
        <f>AK16/$AC16</f>
        <v>12500</v>
      </c>
      <c r="AK16" s="141">
        <f>AH16/AI16</f>
        <v>25000</v>
      </c>
      <c r="AL16" s="141">
        <f t="shared" ref="AL16:AL36" si="152">IF($AQ$3="",AR16,AV16)</f>
        <v>2467500</v>
      </c>
      <c r="AM16" s="356">
        <f t="shared" si="93"/>
        <v>154.21875</v>
      </c>
      <c r="AN16" s="141">
        <f t="shared" si="94"/>
        <v>8000</v>
      </c>
      <c r="AO16" s="141">
        <f t="shared" si="95"/>
        <v>16000</v>
      </c>
      <c r="AP16" s="357"/>
      <c r="AQ16" s="139">
        <f t="shared" si="96"/>
        <v>2</v>
      </c>
      <c r="AR16" s="346">
        <f>VLOOKUP($FW$29,SOURCE!$AH$5:$AX$49,10,FALSE)*AG16</f>
        <v>2467500</v>
      </c>
      <c r="AS16" s="347">
        <f>IF(U7="",VLOOKUP(FW29,SOURCE!AH5:AP49,9,FALSE)*$FY$6,AR16/(LEFT(U7,6)*AC16)*$FY$6)</f>
        <v>154.21875</v>
      </c>
      <c r="AT16" s="141">
        <f>AU16/$AC16</f>
        <v>8000</v>
      </c>
      <c r="AU16" s="141">
        <f>AR16/AS16</f>
        <v>16000</v>
      </c>
      <c r="AV16" s="351">
        <f t="shared" si="49"/>
        <v>2467500</v>
      </c>
      <c r="AW16" s="347">
        <f>AV16/(LEFT(U7,6)*AC16)</f>
        <v>154.21875</v>
      </c>
      <c r="AX16" s="141">
        <f>AY16/$AC16</f>
        <v>8000</v>
      </c>
      <c r="AY16" s="141">
        <f>AV16/AW16</f>
        <v>16000</v>
      </c>
      <c r="AZ16" s="7"/>
      <c r="BA16" s="24">
        <f t="shared" si="144"/>
        <v>11</v>
      </c>
      <c r="BB16" s="66">
        <f>IF(VLOOKUP($FW$29,SOURCE!$AH$5:$AJ$50,3,FALSE)="CFM56-5B",SOURCE!BB15,SOURCE!BG15)</f>
        <v>20000</v>
      </c>
      <c r="BC16" s="66">
        <f>IF(VLOOKUP($FW$29,SOURCE!$AH$5:$AJ$50,3,FALSE)="CFM56-5B",SOURCE!BC15,SOURCE!BH15)</f>
        <v>109300</v>
      </c>
      <c r="BD16" s="31">
        <f t="shared" si="97"/>
        <v>5.47</v>
      </c>
      <c r="BE16" s="13"/>
      <c r="BF16" s="13"/>
      <c r="BG16" s="66">
        <f t="shared" si="98"/>
        <v>109300</v>
      </c>
      <c r="BH16" s="66">
        <f t="shared" si="99"/>
        <v>41025</v>
      </c>
      <c r="BI16" s="66">
        <f t="shared" si="149"/>
        <v>20000</v>
      </c>
      <c r="BJ16" s="13"/>
      <c r="BK16" s="13"/>
      <c r="BL16" s="66" t="str">
        <f t="shared" si="100"/>
        <v/>
      </c>
      <c r="BM16" s="66" t="str">
        <f t="shared" si="101"/>
        <v/>
      </c>
      <c r="BN16" s="66">
        <f t="shared" si="102"/>
        <v>12000</v>
      </c>
      <c r="BO16" s="66">
        <f t="shared" si="103"/>
        <v>109300</v>
      </c>
      <c r="BP16" s="66">
        <f t="shared" si="53"/>
        <v>21860</v>
      </c>
      <c r="BQ16" s="66">
        <f t="shared" si="104"/>
        <v>20000</v>
      </c>
      <c r="BR16" s="66" t="str">
        <f t="shared" si="105"/>
        <v/>
      </c>
      <c r="BS16" s="66" t="str">
        <f t="shared" si="106"/>
        <v/>
      </c>
      <c r="BT16" s="66">
        <f t="shared" si="54"/>
        <v>12000</v>
      </c>
      <c r="BU16" s="66">
        <f t="shared" si="107"/>
        <v>109300</v>
      </c>
      <c r="BV16" s="66">
        <f t="shared" si="108"/>
        <v>21860</v>
      </c>
      <c r="BW16" s="66">
        <f t="shared" si="55"/>
        <v>20000</v>
      </c>
      <c r="BX16" s="66" t="str">
        <f t="shared" si="109"/>
        <v/>
      </c>
      <c r="BY16" s="66" t="str">
        <f t="shared" si="56"/>
        <v/>
      </c>
      <c r="BZ16" s="66">
        <f t="shared" si="57"/>
        <v>12000</v>
      </c>
      <c r="CA16" s="66">
        <f t="shared" si="110"/>
        <v>109300</v>
      </c>
      <c r="CB16" s="66">
        <f t="shared" si="58"/>
        <v>21860</v>
      </c>
      <c r="CC16" s="66">
        <f t="shared" si="59"/>
        <v>20000</v>
      </c>
      <c r="CD16" s="66" t="str">
        <f t="shared" si="145"/>
        <v/>
      </c>
      <c r="CE16" s="66" t="str">
        <f t="shared" si="60"/>
        <v/>
      </c>
      <c r="CF16" s="66">
        <f t="shared" si="61"/>
        <v>12000</v>
      </c>
      <c r="CG16" s="66">
        <f t="shared" si="111"/>
        <v>109300</v>
      </c>
      <c r="CH16" s="66">
        <f t="shared" si="62"/>
        <v>21860</v>
      </c>
      <c r="CI16" s="66">
        <f t="shared" si="63"/>
        <v>20000</v>
      </c>
      <c r="CJ16" s="66" t="str">
        <f t="shared" si="112"/>
        <v/>
      </c>
      <c r="CK16" s="66" t="str">
        <f t="shared" si="113"/>
        <v/>
      </c>
      <c r="CL16" s="66">
        <f t="shared" si="64"/>
        <v>12000</v>
      </c>
      <c r="CM16" s="66">
        <f t="shared" si="114"/>
        <v>109300</v>
      </c>
      <c r="CN16" s="66">
        <f t="shared" si="115"/>
        <v>21860</v>
      </c>
      <c r="CO16" s="66">
        <f t="shared" si="116"/>
        <v>20000</v>
      </c>
      <c r="CP16" s="66" t="str">
        <f t="shared" si="117"/>
        <v/>
      </c>
      <c r="CQ16" s="66" t="str">
        <f t="shared" si="118"/>
        <v/>
      </c>
      <c r="CR16" s="66">
        <f t="shared" si="119"/>
        <v>12000</v>
      </c>
      <c r="CS16" s="66">
        <f t="shared" si="120"/>
        <v>109300</v>
      </c>
      <c r="CT16" s="66">
        <f t="shared" si="121"/>
        <v>21860</v>
      </c>
      <c r="CU16" s="66">
        <f t="shared" si="122"/>
        <v>20000</v>
      </c>
      <c r="CV16" s="66" t="str">
        <f t="shared" si="123"/>
        <v/>
      </c>
      <c r="CW16" s="66" t="str">
        <f t="shared" si="124"/>
        <v/>
      </c>
      <c r="CX16" s="66">
        <f t="shared" si="125"/>
        <v>12000</v>
      </c>
      <c r="CY16" s="66">
        <f t="shared" si="126"/>
        <v>109300</v>
      </c>
      <c r="CZ16" s="66">
        <f t="shared" si="127"/>
        <v>21860</v>
      </c>
      <c r="DA16" s="66">
        <f t="shared" si="128"/>
        <v>20000</v>
      </c>
      <c r="DB16" s="9"/>
      <c r="DC16" s="267" t="s">
        <v>59</v>
      </c>
      <c r="DD16" s="267"/>
      <c r="DE16" s="259" t="s">
        <v>2</v>
      </c>
      <c r="DF16" s="260" t="s">
        <v>3</v>
      </c>
      <c r="DG16" s="261" t="s">
        <v>60</v>
      </c>
      <c r="DH16" s="261" t="s">
        <v>61</v>
      </c>
      <c r="DI16" s="261" t="s">
        <v>62</v>
      </c>
      <c r="DJ16" s="260" t="s">
        <v>63</v>
      </c>
      <c r="DK16" s="268" t="s">
        <v>9</v>
      </c>
      <c r="DM16" s="44">
        <f t="shared" si="129"/>
        <v>10</v>
      </c>
      <c r="DN16" s="41">
        <f t="shared" si="65"/>
        <v>12272520</v>
      </c>
      <c r="DO16" s="41">
        <f t="shared" si="130"/>
        <v>122596.73076923078</v>
      </c>
      <c r="DP16" s="42">
        <f t="shared" si="66"/>
        <v>0</v>
      </c>
      <c r="DQ16" s="42">
        <f t="shared" si="67"/>
        <v>0</v>
      </c>
      <c r="DR16" s="42">
        <f t="shared" si="68"/>
        <v>0</v>
      </c>
      <c r="DS16" s="42">
        <f t="shared" si="69"/>
        <v>0</v>
      </c>
      <c r="DT16" s="42">
        <f t="shared" si="70"/>
        <v>0</v>
      </c>
      <c r="DU16" s="42">
        <f t="shared" si="71"/>
        <v>0</v>
      </c>
      <c r="DV16" s="42">
        <f t="shared" si="72"/>
        <v>0</v>
      </c>
      <c r="DW16" s="42">
        <f t="shared" si="73"/>
        <v>0</v>
      </c>
      <c r="DX16" s="42">
        <f t="shared" si="74"/>
        <v>1225967.307692308</v>
      </c>
      <c r="DY16" s="42">
        <f>IF(DM16="",DY15,DN16-SUM($DO$6:DO16)+SUM($DP$6:DV16)-SUM($DW$6:DW16))</f>
        <v>11046552.692307692</v>
      </c>
      <c r="DZ16" s="43">
        <f t="shared" si="131"/>
        <v>0.90010468040041425</v>
      </c>
      <c r="EA16" s="43"/>
      <c r="EB16" s="43" t="str">
        <f t="shared" si="146"/>
        <v>True</v>
      </c>
      <c r="EC16" s="41">
        <f t="shared" si="132"/>
        <v>185400</v>
      </c>
      <c r="ED16" s="41">
        <f t="shared" si="133"/>
        <v>606690</v>
      </c>
      <c r="EE16" s="41">
        <f t="shared" si="75"/>
        <v>902280</v>
      </c>
      <c r="EF16" s="41">
        <f t="shared" si="147"/>
        <v>10300</v>
      </c>
      <c r="EG16" s="42">
        <f t="shared" si="134"/>
        <v>8426.25</v>
      </c>
      <c r="EH16" s="42">
        <f t="shared" si="135"/>
        <v>6265.8333333333321</v>
      </c>
      <c r="EI16" s="42">
        <f t="shared" si="76"/>
        <v>103000</v>
      </c>
      <c r="EJ16" s="42">
        <f t="shared" si="136"/>
        <v>84263</v>
      </c>
      <c r="EK16" s="42">
        <f t="shared" si="77"/>
        <v>62658</v>
      </c>
      <c r="EL16" s="42">
        <f>IF(DM16="","",EC16-SUM($EF$6:EF16)+SUM($DP$6:DP16))</f>
        <v>82400</v>
      </c>
      <c r="EM16" s="42">
        <f>IF(DM16="","",ED16-SUM($EG$6:EG16)+SUM($DQ$6:DQ16))</f>
        <v>522427.5</v>
      </c>
      <c r="EN16" s="42">
        <f>IF(DM16="","",EE16-SUM($EH$6:EH16)+SUM($DR$6:DR16))</f>
        <v>839621.66666666674</v>
      </c>
      <c r="EO16" s="152">
        <f t="shared" si="148"/>
        <v>0.85249925734442111</v>
      </c>
      <c r="EP16" s="43"/>
      <c r="EQ16" s="42">
        <f t="shared" si="78"/>
        <v>448050</v>
      </c>
      <c r="ER16" s="42">
        <f t="shared" si="79"/>
        <v>248100</v>
      </c>
      <c r="ES16" s="42">
        <f t="shared" si="137"/>
        <v>3733.75</v>
      </c>
      <c r="ET16" s="42">
        <f t="shared" si="138"/>
        <v>6122.9807692307695</v>
      </c>
      <c r="EU16" s="42">
        <f t="shared" si="80"/>
        <v>37338</v>
      </c>
      <c r="EV16" s="42">
        <f t="shared" si="81"/>
        <v>61230</v>
      </c>
      <c r="EW16" s="42">
        <f>IF(DM16="","",IF(DS16&gt;0,DS16,EQ16-SUM($ES$6:ES16)+SUM($DS$6:DS16)))</f>
        <v>410712.5</v>
      </c>
      <c r="EX16" s="42">
        <f>IF(DM16="","",IF(DT16&gt;0,DT16,ER16-SUM($ET$6:ET16)+SUM($DT$6:DT16)))</f>
        <v>186870.19230769231</v>
      </c>
      <c r="EY16" s="43">
        <f t="shared" si="82"/>
        <v>0.75320512820512819</v>
      </c>
      <c r="EZ16" s="43">
        <f t="shared" si="83"/>
        <v>0.91666666666666663</v>
      </c>
      <c r="FA16" s="43"/>
      <c r="FB16" s="42">
        <f t="shared" si="84"/>
        <v>4700000</v>
      </c>
      <c r="FC16" s="42">
        <f t="shared" si="85"/>
        <v>5182000</v>
      </c>
      <c r="FD16" s="41">
        <f t="shared" si="139"/>
        <v>54833.333333333336</v>
      </c>
      <c r="FE16" s="41">
        <f t="shared" si="140"/>
        <v>32914.583333333336</v>
      </c>
      <c r="FF16" s="42">
        <f t="shared" si="86"/>
        <v>548333</v>
      </c>
      <c r="FG16" s="42">
        <f t="shared" si="87"/>
        <v>329146</v>
      </c>
      <c r="FH16" s="42">
        <f>IF(DM16="","",IF(DU16&gt;0,DU16,FB16-SUM($FD$6:FD16)+SUM($DU$6:DU16)))</f>
        <v>4151666.666666667</v>
      </c>
      <c r="FI16" s="42">
        <f>IF(DM16="","",FC16-SUM($FE$6:FE16)+SUM($DV$6:DV16)-SUM($DW$6:DW16))</f>
        <v>4852854.166666667</v>
      </c>
      <c r="FJ16" s="152">
        <f t="shared" si="88"/>
        <v>0.91120429400256364</v>
      </c>
      <c r="FL16" s="14"/>
      <c r="FM16" s="14" t="str">
        <f>IF($C$7="A318",FN16,IF($C$7="A319",FO16,IF($C$7="A320",FP16,FQ16)))</f>
        <v/>
      </c>
      <c r="FN16" s="14" t="str">
        <f>""</f>
        <v/>
      </c>
      <c r="FO16" s="14" t="str">
        <f>""</f>
        <v/>
      </c>
      <c r="FP16" s="14" t="str">
        <f>""</f>
        <v/>
      </c>
      <c r="FQ16" s="14" t="str">
        <f>""</f>
        <v/>
      </c>
      <c r="FR16" s="27">
        <v>2</v>
      </c>
      <c r="FS16" s="21">
        <v>0.1</v>
      </c>
      <c r="FT16" s="21"/>
      <c r="FU16" s="21"/>
      <c r="FV16" s="8"/>
      <c r="FW16" s="8">
        <v>180</v>
      </c>
      <c r="FY16" s="91"/>
      <c r="GC16" s="68">
        <f t="shared" si="26"/>
        <v>11</v>
      </c>
      <c r="GD16" s="78">
        <f t="shared" si="27"/>
        <v>0</v>
      </c>
      <c r="GE16" s="309">
        <f t="shared" si="28"/>
        <v>0.89011514844045569</v>
      </c>
      <c r="GF16" s="78">
        <f t="shared" si="29"/>
        <v>0</v>
      </c>
      <c r="GG16" s="310">
        <f t="shared" si="30"/>
        <v>0.83774918307886326</v>
      </c>
      <c r="GH16" s="78">
        <f t="shared" si="31"/>
        <v>0</v>
      </c>
      <c r="GI16" s="310">
        <f t="shared" si="32"/>
        <v>0.90833333333333333</v>
      </c>
      <c r="GJ16" s="311">
        <f t="shared" si="33"/>
        <v>0</v>
      </c>
      <c r="GK16" s="310">
        <f t="shared" si="34"/>
        <v>0.7285256410256411</v>
      </c>
      <c r="GL16" s="311">
        <f t="shared" si="35"/>
        <v>0</v>
      </c>
      <c r="GM16" s="310">
        <f t="shared" si="36"/>
        <v>0.90232472340281988</v>
      </c>
      <c r="GO16" s="266" t="s">
        <v>68</v>
      </c>
      <c r="GP16" s="266" t="s">
        <v>240</v>
      </c>
      <c r="GQ16" s="14">
        <f>IF(GS16="","",COUNT($GS$4:GS16))</f>
        <v>13</v>
      </c>
      <c r="GR16" s="24" t="str">
        <f t="shared" si="150"/>
        <v>12Y SI</v>
      </c>
      <c r="GS16" s="14">
        <f>IF(ROUND(DI9,0)&lt;=$FW$23,DI9,"")</f>
        <v>144</v>
      </c>
      <c r="GU16" s="66">
        <f>IF(GS16="","",DF9)</f>
        <v>902280</v>
      </c>
      <c r="GV16" s="264"/>
      <c r="GW16" s="264"/>
      <c r="GX16" s="13"/>
      <c r="GY16" s="14"/>
      <c r="GZ16" s="13"/>
      <c r="HA16" s="14">
        <f>IF(HC16="","",_xlfn.RANK.EQ(HC16,$HC$4:$HC$44,1)+COUNTIF($HC$4:$HC$44,HC16)-COUNTIF($HC$4:HC16,HC16))</f>
        <v>15</v>
      </c>
      <c r="HB16" s="24">
        <f t="shared" si="39"/>
        <v>13</v>
      </c>
      <c r="HC16" s="14">
        <f t="shared" si="0"/>
        <v>144</v>
      </c>
      <c r="HD16" s="24" t="str">
        <f t="shared" si="40"/>
        <v>Airframe</v>
      </c>
      <c r="HE16" s="13" t="str">
        <f t="shared" si="1"/>
        <v>12Y SI</v>
      </c>
      <c r="HF16" s="13" t="str">
        <f t="shared" ref="HF16:HF23" si="153">IF(HB16="","",IF(HB16&lt;10,HB16&amp;"       "&amp;HD16&amp;"  "&amp;HE16,HB16&amp;"    "&amp;HD16&amp;"  "&amp;HE16))</f>
        <v>13    Airframe  12Y SI</v>
      </c>
      <c r="HG16" s="13"/>
      <c r="HH16" s="24" t="str">
        <f t="shared" si="3"/>
        <v/>
      </c>
      <c r="HI16" s="66">
        <f t="shared" si="4"/>
        <v>902280</v>
      </c>
      <c r="HJ16" s="82" t="str">
        <f t="shared" si="5"/>
        <v/>
      </c>
      <c r="HK16" s="66" t="str">
        <f t="shared" si="6"/>
        <v/>
      </c>
      <c r="HL16" s="66" t="str">
        <f t="shared" si="7"/>
        <v/>
      </c>
      <c r="HM16" s="66" t="str">
        <f t="shared" si="8"/>
        <v/>
      </c>
      <c r="HN16" s="24">
        <f t="shared" si="141"/>
        <v>13</v>
      </c>
      <c r="HO16" s="14">
        <f t="shared" si="9"/>
        <v>126</v>
      </c>
      <c r="HP16" s="24" t="str">
        <f t="shared" si="10"/>
        <v>Airframe</v>
      </c>
      <c r="HQ16" s="24" t="str">
        <f t="shared" si="11"/>
        <v>7C-Check</v>
      </c>
      <c r="HR16" s="13" t="str">
        <f t="shared" si="151"/>
        <v>13       Airframe  7C-Check</v>
      </c>
      <c r="HT16" s="13" t="str">
        <f t="shared" si="12"/>
        <v/>
      </c>
      <c r="HU16" s="75">
        <f t="shared" si="13"/>
        <v>222480</v>
      </c>
      <c r="HV16" s="75" t="str">
        <f t="shared" si="42"/>
        <v/>
      </c>
      <c r="HW16" s="75" t="str">
        <f t="shared" si="14"/>
        <v/>
      </c>
      <c r="HX16" s="75" t="str">
        <f t="shared" si="15"/>
        <v/>
      </c>
      <c r="HY16" s="66" t="str">
        <f t="shared" si="16"/>
        <v/>
      </c>
      <c r="HZ16" s="151" t="str">
        <f t="shared" si="17"/>
        <v>Airframe</v>
      </c>
      <c r="IA16" s="151" t="str">
        <f t="shared" si="18"/>
        <v>13    Airframe  12Y SI</v>
      </c>
      <c r="IB16" s="151"/>
      <c r="IC16" s="149">
        <f t="shared" si="19"/>
        <v>144</v>
      </c>
      <c r="ID16" s="151" t="str">
        <f t="shared" si="20"/>
        <v/>
      </c>
      <c r="IE16" s="33">
        <f t="shared" si="21"/>
        <v>902280</v>
      </c>
      <c r="IF16" s="33" t="str">
        <f t="shared" si="22"/>
        <v/>
      </c>
      <c r="IG16" s="33" t="str">
        <f t="shared" si="23"/>
        <v/>
      </c>
      <c r="IH16" s="33" t="str">
        <f t="shared" si="24"/>
        <v/>
      </c>
      <c r="II16" s="33" t="str">
        <f t="shared" si="25"/>
        <v/>
      </c>
      <c r="IM16" s="13"/>
      <c r="IN16" s="13"/>
      <c r="IO16" s="13"/>
      <c r="IP16" s="13"/>
      <c r="IQ16" s="13"/>
    </row>
    <row r="17" spans="1:251" ht="12" x14ac:dyDescent="0.2">
      <c r="B17" s="556"/>
      <c r="C17" s="26"/>
      <c r="D17" s="26"/>
      <c r="E17" s="26"/>
      <c r="F17" s="26"/>
      <c r="G17" s="26"/>
      <c r="H17" s="26"/>
      <c r="I17" s="26"/>
      <c r="J17" s="26"/>
      <c r="K17" s="26"/>
      <c r="L17" s="26"/>
      <c r="M17" s="26"/>
      <c r="N17" s="26"/>
      <c r="O17" s="26"/>
      <c r="P17" s="26"/>
      <c r="Q17" s="26"/>
      <c r="R17" s="26"/>
      <c r="S17" s="26"/>
      <c r="T17" s="26"/>
      <c r="U17" s="26"/>
      <c r="V17" s="26"/>
      <c r="W17" s="307"/>
      <c r="X17" s="307"/>
      <c r="Y17" s="229"/>
      <c r="AC17" s="20">
        <v>2.1</v>
      </c>
      <c r="AD17" s="18">
        <f>AD16-($AD$16-$AD$21)/5</f>
        <v>0.98899999999999999</v>
      </c>
      <c r="AE17" s="18">
        <f>AE16-($AE$16-$AE$21)/5</f>
        <v>1.004</v>
      </c>
      <c r="AF17" s="18">
        <f>AF16-($AF$16-$AF$21)/5</f>
        <v>0.98899999999999999</v>
      </c>
      <c r="AG17" s="18">
        <f>AG16-($AG$16-$AG$21)/5</f>
        <v>1.004</v>
      </c>
      <c r="AH17" s="50">
        <f>$AH$16*AE17</f>
        <v>2359400</v>
      </c>
      <c r="AI17" s="51">
        <f>$AI$16*AD17</f>
        <v>92.965999999999994</v>
      </c>
      <c r="AJ17" s="50">
        <f t="shared" si="91"/>
        <v>12085.319466512592</v>
      </c>
      <c r="AK17" s="50">
        <f t="shared" si="92"/>
        <v>25379.170879676443</v>
      </c>
      <c r="AL17" s="348">
        <f t="shared" si="152"/>
        <v>2477370</v>
      </c>
      <c r="AM17" s="354">
        <f t="shared" si="93"/>
        <v>152.52234375</v>
      </c>
      <c r="AN17" s="348">
        <f t="shared" si="94"/>
        <v>7734.6044585680575</v>
      </c>
      <c r="AO17" s="348">
        <f t="shared" si="95"/>
        <v>16242.669362992921</v>
      </c>
      <c r="AP17" s="7"/>
      <c r="AQ17" s="349">
        <f t="shared" si="96"/>
        <v>2.1</v>
      </c>
      <c r="AR17" s="50">
        <f>$AR$16*$AG17</f>
        <v>2477370</v>
      </c>
      <c r="AS17" s="349">
        <f>$AS$16*$AF17</f>
        <v>152.52234375</v>
      </c>
      <c r="AT17" s="348">
        <f>AU17/$AC17</f>
        <v>7734.6044585680575</v>
      </c>
      <c r="AU17" s="348">
        <f>AR17/AS17</f>
        <v>16242.669362992921</v>
      </c>
      <c r="AV17" s="350">
        <f t="shared" si="49"/>
        <v>2477370</v>
      </c>
      <c r="AW17" s="349">
        <f>$AW$16*$AF17</f>
        <v>152.52234375</v>
      </c>
      <c r="AX17" s="348">
        <f>AY17/$AC17</f>
        <v>7734.6044585680575</v>
      </c>
      <c r="AY17" s="348">
        <f>AV17/AW17</f>
        <v>16242.669362992921</v>
      </c>
      <c r="AZ17" s="7"/>
      <c r="BA17" s="24">
        <f t="shared" si="144"/>
        <v>12</v>
      </c>
      <c r="BB17" s="66">
        <f>IF(VLOOKUP($FW$29,SOURCE!$AH$5:$AJ$50,3,FALSE)="CFM56-5B",SOURCE!BB16,SOURCE!BG16)</f>
        <v>20000</v>
      </c>
      <c r="BC17" s="66">
        <f>IF(VLOOKUP($FW$29,SOURCE!$AH$5:$AJ$50,3,FALSE)="CFM56-5B",SOURCE!BC16,SOURCE!BH16)</f>
        <v>80710</v>
      </c>
      <c r="BD17" s="31">
        <f t="shared" si="97"/>
        <v>4.04</v>
      </c>
      <c r="BE17" s="13"/>
      <c r="BF17" s="13"/>
      <c r="BG17" s="66">
        <f t="shared" si="98"/>
        <v>80710</v>
      </c>
      <c r="BH17" s="66">
        <f t="shared" si="99"/>
        <v>30300</v>
      </c>
      <c r="BI17" s="66">
        <f t="shared" si="149"/>
        <v>20000</v>
      </c>
      <c r="BJ17" s="13"/>
      <c r="BK17" s="13"/>
      <c r="BL17" s="66" t="str">
        <f t="shared" si="100"/>
        <v/>
      </c>
      <c r="BM17" s="66" t="str">
        <f t="shared" si="101"/>
        <v/>
      </c>
      <c r="BN17" s="66">
        <f t="shared" si="102"/>
        <v>12000</v>
      </c>
      <c r="BO17" s="66">
        <f t="shared" si="103"/>
        <v>80710</v>
      </c>
      <c r="BP17" s="66">
        <f t="shared" si="53"/>
        <v>16142</v>
      </c>
      <c r="BQ17" s="66">
        <f t="shared" si="104"/>
        <v>20000</v>
      </c>
      <c r="BR17" s="66" t="str">
        <f t="shared" si="105"/>
        <v/>
      </c>
      <c r="BS17" s="66" t="str">
        <f t="shared" si="106"/>
        <v/>
      </c>
      <c r="BT17" s="66">
        <f t="shared" si="54"/>
        <v>12000</v>
      </c>
      <c r="BU17" s="66">
        <f t="shared" si="107"/>
        <v>80710</v>
      </c>
      <c r="BV17" s="66">
        <f t="shared" si="108"/>
        <v>16142</v>
      </c>
      <c r="BW17" s="66">
        <f t="shared" si="55"/>
        <v>20000</v>
      </c>
      <c r="BX17" s="66" t="str">
        <f t="shared" si="109"/>
        <v/>
      </c>
      <c r="BY17" s="66" t="str">
        <f t="shared" si="56"/>
        <v/>
      </c>
      <c r="BZ17" s="66">
        <f t="shared" si="57"/>
        <v>12000</v>
      </c>
      <c r="CA17" s="66">
        <f t="shared" si="110"/>
        <v>80710</v>
      </c>
      <c r="CB17" s="66">
        <f t="shared" si="58"/>
        <v>16142</v>
      </c>
      <c r="CC17" s="66">
        <f t="shared" si="59"/>
        <v>20000</v>
      </c>
      <c r="CD17" s="66" t="str">
        <f t="shared" si="145"/>
        <v/>
      </c>
      <c r="CE17" s="66" t="str">
        <f t="shared" si="60"/>
        <v/>
      </c>
      <c r="CF17" s="66">
        <f t="shared" si="61"/>
        <v>12000</v>
      </c>
      <c r="CG17" s="66">
        <f t="shared" si="111"/>
        <v>80710</v>
      </c>
      <c r="CH17" s="66">
        <f t="shared" si="62"/>
        <v>16142</v>
      </c>
      <c r="CI17" s="66">
        <f t="shared" si="63"/>
        <v>20000</v>
      </c>
      <c r="CJ17" s="66" t="str">
        <f t="shared" si="112"/>
        <v/>
      </c>
      <c r="CK17" s="66" t="str">
        <f t="shared" si="113"/>
        <v/>
      </c>
      <c r="CL17" s="66">
        <f t="shared" si="64"/>
        <v>12000</v>
      </c>
      <c r="CM17" s="66">
        <f t="shared" si="114"/>
        <v>80710</v>
      </c>
      <c r="CN17" s="66">
        <f t="shared" si="115"/>
        <v>16142</v>
      </c>
      <c r="CO17" s="66">
        <f t="shared" si="116"/>
        <v>20000</v>
      </c>
      <c r="CP17" s="66" t="str">
        <f t="shared" si="117"/>
        <v/>
      </c>
      <c r="CQ17" s="66" t="str">
        <f t="shared" si="118"/>
        <v/>
      </c>
      <c r="CR17" s="66">
        <f t="shared" si="119"/>
        <v>12000</v>
      </c>
      <c r="CS17" s="66">
        <f t="shared" si="120"/>
        <v>80710</v>
      </c>
      <c r="CT17" s="66">
        <f t="shared" si="121"/>
        <v>16142</v>
      </c>
      <c r="CU17" s="66">
        <f t="shared" si="122"/>
        <v>20000</v>
      </c>
      <c r="CV17" s="66" t="str">
        <f t="shared" si="123"/>
        <v/>
      </c>
      <c r="CW17" s="66" t="str">
        <f t="shared" si="124"/>
        <v/>
      </c>
      <c r="CX17" s="66">
        <f t="shared" si="125"/>
        <v>12000</v>
      </c>
      <c r="CY17" s="66">
        <f t="shared" si="126"/>
        <v>80710</v>
      </c>
      <c r="CZ17" s="66">
        <f t="shared" si="127"/>
        <v>16142</v>
      </c>
      <c r="DA17" s="66">
        <f t="shared" si="128"/>
        <v>20000</v>
      </c>
      <c r="DB17" s="9"/>
      <c r="DC17" s="13" t="str">
        <f t="shared" ref="DC17:DC24" si="154">DC6</f>
        <v>Airframe</v>
      </c>
      <c r="DD17" s="13"/>
      <c r="DE17" s="13" t="s">
        <v>456</v>
      </c>
      <c r="DF17" s="66">
        <f>VLOOKUP($FU$29&amp;DE17,SOURCE!$D$5:$O$38,10,FALSE)</f>
        <v>222480</v>
      </c>
      <c r="DG17" s="13"/>
      <c r="DH17" s="13"/>
      <c r="DI17" s="14">
        <f t="shared" ref="DI17:DI22" si="155">DI6</f>
        <v>18</v>
      </c>
      <c r="DJ17" s="66">
        <f>IF(DF17="","",DF17/DI17)</f>
        <v>12360</v>
      </c>
      <c r="DK17" s="31">
        <f>DJ17/($M$7/12)</f>
        <v>42.377142857142857</v>
      </c>
      <c r="DM17" s="44">
        <f t="shared" si="129"/>
        <v>11</v>
      </c>
      <c r="DN17" s="41">
        <f t="shared" si="65"/>
        <v>12272520</v>
      </c>
      <c r="DO17" s="41">
        <f t="shared" si="130"/>
        <v>122596.73076923078</v>
      </c>
      <c r="DP17" s="42">
        <f t="shared" si="66"/>
        <v>0</v>
      </c>
      <c r="DQ17" s="42">
        <f t="shared" si="67"/>
        <v>0</v>
      </c>
      <c r="DR17" s="42">
        <f t="shared" si="68"/>
        <v>0</v>
      </c>
      <c r="DS17" s="42">
        <f t="shared" si="69"/>
        <v>0</v>
      </c>
      <c r="DT17" s="42">
        <f t="shared" si="70"/>
        <v>0</v>
      </c>
      <c r="DU17" s="42">
        <f t="shared" si="71"/>
        <v>0</v>
      </c>
      <c r="DV17" s="42">
        <f t="shared" si="72"/>
        <v>0</v>
      </c>
      <c r="DW17" s="42">
        <f t="shared" si="73"/>
        <v>0</v>
      </c>
      <c r="DX17" s="42">
        <f t="shared" si="74"/>
        <v>1348564.038461538</v>
      </c>
      <c r="DY17" s="42">
        <f>IF(DM17="",DY16,DN17-SUM($DO$6:DO17)+SUM($DP$6:DV17)-SUM($DW$6:DW17))</f>
        <v>10923955.961538462</v>
      </c>
      <c r="DZ17" s="43">
        <f t="shared" si="131"/>
        <v>0.89011514844045569</v>
      </c>
      <c r="EA17" s="43"/>
      <c r="EB17" s="43" t="str">
        <f t="shared" si="146"/>
        <v>True</v>
      </c>
      <c r="EC17" s="41">
        <f t="shared" si="132"/>
        <v>185400</v>
      </c>
      <c r="ED17" s="41">
        <f t="shared" si="133"/>
        <v>606690</v>
      </c>
      <c r="EE17" s="41">
        <f t="shared" si="75"/>
        <v>902280</v>
      </c>
      <c r="EF17" s="41">
        <f t="shared" si="147"/>
        <v>10300</v>
      </c>
      <c r="EG17" s="42">
        <f t="shared" si="134"/>
        <v>8426.25</v>
      </c>
      <c r="EH17" s="42">
        <f t="shared" si="135"/>
        <v>6265.8333333333321</v>
      </c>
      <c r="EI17" s="42">
        <f t="shared" si="76"/>
        <v>113300</v>
      </c>
      <c r="EJ17" s="42">
        <f t="shared" si="136"/>
        <v>92689</v>
      </c>
      <c r="EK17" s="42">
        <f t="shared" si="77"/>
        <v>68924</v>
      </c>
      <c r="EL17" s="42">
        <f>IF(DM17="","",EC17-SUM($EF$6:EF17)+SUM($DP$6:DP17))</f>
        <v>72100</v>
      </c>
      <c r="EM17" s="42">
        <f>IF(DM17="","",ED17-SUM($EG$6:EG17)+SUM($DQ$6:DQ17))</f>
        <v>514001.25</v>
      </c>
      <c r="EN17" s="42">
        <f>IF(DM17="","",EE17-SUM($EH$6:EH17)+SUM($DR$6:DR17))</f>
        <v>833355.83333333337</v>
      </c>
      <c r="EO17" s="152">
        <f t="shared" si="148"/>
        <v>0.83774918307886326</v>
      </c>
      <c r="EP17" s="43"/>
      <c r="EQ17" s="42">
        <f t="shared" si="78"/>
        <v>448050</v>
      </c>
      <c r="ER17" s="42">
        <f t="shared" si="79"/>
        <v>248100</v>
      </c>
      <c r="ES17" s="42">
        <f t="shared" si="137"/>
        <v>3733.75</v>
      </c>
      <c r="ET17" s="42">
        <f t="shared" si="138"/>
        <v>6122.9807692307695</v>
      </c>
      <c r="EU17" s="42">
        <f t="shared" si="80"/>
        <v>41071</v>
      </c>
      <c r="EV17" s="42">
        <f t="shared" si="81"/>
        <v>67353</v>
      </c>
      <c r="EW17" s="42">
        <f>IF(DM17="","",IF(DS17&gt;0,DS17,EQ17-SUM($ES$6:ES17)+SUM($DS$6:DS17)))</f>
        <v>406978.75</v>
      </c>
      <c r="EX17" s="42">
        <f>IF(DM17="","",IF(DT17&gt;0,DT17,ER17-SUM($ET$6:ET17)+SUM($DT$6:DT17)))</f>
        <v>180747.21153846156</v>
      </c>
      <c r="EY17" s="43">
        <f t="shared" si="82"/>
        <v>0.7285256410256411</v>
      </c>
      <c r="EZ17" s="43">
        <f t="shared" si="83"/>
        <v>0.90833333333333333</v>
      </c>
      <c r="FA17" s="43"/>
      <c r="FB17" s="42">
        <f t="shared" si="84"/>
        <v>4700000</v>
      </c>
      <c r="FC17" s="42">
        <f t="shared" si="85"/>
        <v>5182000</v>
      </c>
      <c r="FD17" s="41">
        <f t="shared" si="139"/>
        <v>54833.333333333336</v>
      </c>
      <c r="FE17" s="41">
        <f t="shared" si="140"/>
        <v>32914.583333333336</v>
      </c>
      <c r="FF17" s="42">
        <f t="shared" si="86"/>
        <v>603167</v>
      </c>
      <c r="FG17" s="42">
        <f t="shared" si="87"/>
        <v>362060</v>
      </c>
      <c r="FH17" s="42">
        <f>IF(DM17="","",IF(DU17&gt;0,DU17,FB17-SUM($FD$6:FD17)+SUM($DU$6:DU17)))</f>
        <v>4096833.3333333335</v>
      </c>
      <c r="FI17" s="42">
        <f>IF(DM17="","",FC17-SUM($FE$6:FE17)+SUM($DV$6:DV17)-SUM($DW$6:DW17))</f>
        <v>4819939.583333333</v>
      </c>
      <c r="FJ17" s="152">
        <f t="shared" si="88"/>
        <v>0.90232472340281988</v>
      </c>
      <c r="FL17" s="5"/>
      <c r="FM17" s="66"/>
      <c r="FN17" s="14"/>
      <c r="FO17" s="14"/>
      <c r="FP17" s="14"/>
      <c r="FQ17" s="14"/>
      <c r="FR17" s="27">
        <v>2.1</v>
      </c>
      <c r="FS17" s="21">
        <v>0.11</v>
      </c>
      <c r="FT17" s="21"/>
      <c r="FU17" s="21"/>
      <c r="FV17" s="8"/>
      <c r="FW17" s="8"/>
      <c r="GC17" s="68">
        <f t="shared" si="26"/>
        <v>12</v>
      </c>
      <c r="GD17" s="78">
        <f t="shared" si="27"/>
        <v>0</v>
      </c>
      <c r="GE17" s="309">
        <f t="shared" si="28"/>
        <v>0.88012561648049703</v>
      </c>
      <c r="GF17" s="78">
        <f t="shared" si="29"/>
        <v>0</v>
      </c>
      <c r="GG17" s="310">
        <f t="shared" si="30"/>
        <v>0.82299910881330529</v>
      </c>
      <c r="GH17" s="78">
        <f t="shared" si="31"/>
        <v>0</v>
      </c>
      <c r="GI17" s="310">
        <f t="shared" si="32"/>
        <v>0.9</v>
      </c>
      <c r="GJ17" s="311">
        <f t="shared" si="33"/>
        <v>0</v>
      </c>
      <c r="GK17" s="310">
        <f t="shared" si="34"/>
        <v>0.7038461538461539</v>
      </c>
      <c r="GL17" s="311">
        <f t="shared" si="35"/>
        <v>0</v>
      </c>
      <c r="GM17" s="310">
        <f t="shared" si="36"/>
        <v>0.89344515280307635</v>
      </c>
      <c r="GO17" s="266" t="s">
        <v>83</v>
      </c>
      <c r="GP17" s="266" t="s">
        <v>186</v>
      </c>
      <c r="GQ17" s="14">
        <f>IF(GS17="","",COUNT($GS$4:GS17))</f>
        <v>14</v>
      </c>
      <c r="GR17" s="24" t="str">
        <f t="shared" si="150"/>
        <v>Overhaul</v>
      </c>
      <c r="GS17" s="14">
        <f>IF(ROUND(DI10,0)&gt;$FW$23,"",IF(DH10/GA5&lt;DI10,ROUND(DH10/GA5,0),DI10))</f>
        <v>120</v>
      </c>
      <c r="GU17" s="66">
        <f>IF(GS17="","",$DF$10)</f>
        <v>448050</v>
      </c>
      <c r="GV17" s="264"/>
      <c r="GW17" s="264"/>
      <c r="GX17" s="13"/>
      <c r="GY17" s="14"/>
      <c r="GZ17" s="13"/>
      <c r="HA17" s="14">
        <f>IF(HC17="","",_xlfn.RANK.EQ(HC17,$HC$4:$HC$44,1)+COUNTIF($HC$4:$HC$44,HC17)-COUNTIF($HC$4:HC17,HC17))</f>
        <v>11</v>
      </c>
      <c r="HB17" s="24">
        <f t="shared" si="39"/>
        <v>14</v>
      </c>
      <c r="HC17" s="14">
        <f t="shared" si="0"/>
        <v>120</v>
      </c>
      <c r="HD17" s="24" t="str">
        <f t="shared" si="40"/>
        <v>Gear</v>
      </c>
      <c r="HE17" s="13" t="str">
        <f t="shared" si="1"/>
        <v>Overhaul</v>
      </c>
      <c r="HF17" s="13" t="str">
        <f t="shared" si="153"/>
        <v>14    Gear  Overhaul</v>
      </c>
      <c r="HG17" s="13"/>
      <c r="HH17" s="24" t="str">
        <f t="shared" si="3"/>
        <v/>
      </c>
      <c r="HI17" s="66">
        <f t="shared" si="4"/>
        <v>448050</v>
      </c>
      <c r="HJ17" s="82" t="str">
        <f t="shared" si="5"/>
        <v/>
      </c>
      <c r="HK17" s="66" t="str">
        <f t="shared" si="6"/>
        <v/>
      </c>
      <c r="HL17" s="66" t="str">
        <f t="shared" si="7"/>
        <v/>
      </c>
      <c r="HM17" s="66" t="str">
        <f t="shared" si="8"/>
        <v/>
      </c>
      <c r="HN17" s="24">
        <f t="shared" si="141"/>
        <v>14</v>
      </c>
      <c r="HO17" s="14">
        <f t="shared" si="9"/>
        <v>140</v>
      </c>
      <c r="HP17" s="24" t="str">
        <f t="shared" si="10"/>
        <v>Engine</v>
      </c>
      <c r="HQ17" s="24" t="str">
        <f t="shared" si="11"/>
        <v>SV (2 Each)</v>
      </c>
      <c r="HR17" s="13" t="str">
        <f t="shared" si="151"/>
        <v>14       Engine  SV (2 Each)</v>
      </c>
      <c r="HT17" s="13" t="str">
        <f t="shared" si="12"/>
        <v xml:space="preserve">  PR+</v>
      </c>
      <c r="HU17" s="75">
        <f t="shared" si="13"/>
        <v>5058375</v>
      </c>
      <c r="HV17" s="75">
        <f t="shared" si="42"/>
        <v>1423000</v>
      </c>
      <c r="HW17" s="75">
        <f t="shared" si="14"/>
        <v>256230</v>
      </c>
      <c r="HX17" s="75">
        <f t="shared" si="15"/>
        <v>16000</v>
      </c>
      <c r="HY17" s="66">
        <f t="shared" si="16"/>
        <v>8000</v>
      </c>
      <c r="HZ17" s="151" t="str">
        <f t="shared" si="17"/>
        <v>Gear</v>
      </c>
      <c r="IA17" s="151" t="str">
        <f t="shared" si="18"/>
        <v>14    Gear  Overhaul</v>
      </c>
      <c r="IB17" s="151"/>
      <c r="IC17" s="149">
        <f t="shared" si="19"/>
        <v>120</v>
      </c>
      <c r="ID17" s="151" t="str">
        <f t="shared" si="20"/>
        <v/>
      </c>
      <c r="IE17" s="33">
        <f t="shared" si="21"/>
        <v>448050</v>
      </c>
      <c r="IF17" s="33" t="str">
        <f t="shared" si="22"/>
        <v/>
      </c>
      <c r="IG17" s="33" t="str">
        <f t="shared" si="23"/>
        <v/>
      </c>
      <c r="IH17" s="33" t="str">
        <f t="shared" si="24"/>
        <v/>
      </c>
      <c r="II17" s="33" t="str">
        <f t="shared" si="25"/>
        <v/>
      </c>
      <c r="IM17" s="13"/>
      <c r="IN17" s="13"/>
      <c r="IO17" s="13"/>
      <c r="IP17" s="13"/>
      <c r="IQ17" s="13"/>
    </row>
    <row r="18" spans="1:251" ht="12" x14ac:dyDescent="0.2">
      <c r="B18" s="556"/>
      <c r="C18" s="26"/>
      <c r="D18" s="26"/>
      <c r="E18" s="26"/>
      <c r="F18" s="26"/>
      <c r="G18" s="26"/>
      <c r="H18" s="26"/>
      <c r="I18" s="26"/>
      <c r="J18" s="26"/>
      <c r="K18" s="26"/>
      <c r="L18" s="26"/>
      <c r="M18" s="26"/>
      <c r="N18" s="26"/>
      <c r="O18" s="26"/>
      <c r="P18" s="26"/>
      <c r="Q18" s="26"/>
      <c r="R18" s="26"/>
      <c r="S18" s="26"/>
      <c r="T18" s="26"/>
      <c r="U18" s="26"/>
      <c r="V18" s="26"/>
      <c r="W18" s="307"/>
      <c r="X18" s="307"/>
      <c r="Y18" s="229"/>
      <c r="AC18" s="20">
        <v>2.2000000000000002</v>
      </c>
      <c r="AD18" s="18">
        <f>AD17-($AD$16-$AD$21)/5</f>
        <v>0.97799999999999998</v>
      </c>
      <c r="AE18" s="18">
        <f>AE17-($AE$16-$AE$21)/5</f>
        <v>1.008</v>
      </c>
      <c r="AF18" s="18">
        <f>AF17-($AF$16-$AF$21)/5</f>
        <v>0.97799999999999998</v>
      </c>
      <c r="AG18" s="18">
        <f>AG17-($AG$16-$AG$21)/5</f>
        <v>1.008</v>
      </c>
      <c r="AH18" s="50">
        <f t="shared" ref="AH18:AH46" si="156">$AH$16*AE18</f>
        <v>2368800</v>
      </c>
      <c r="AI18" s="51">
        <f t="shared" ref="AI18:AI46" si="157">$AI$16*AD18</f>
        <v>91.932000000000002</v>
      </c>
      <c r="AJ18" s="50">
        <f t="shared" si="91"/>
        <v>11712.214166201895</v>
      </c>
      <c r="AK18" s="50">
        <f t="shared" si="92"/>
        <v>25766.87116564417</v>
      </c>
      <c r="AL18" s="348">
        <f t="shared" si="152"/>
        <v>2487240</v>
      </c>
      <c r="AM18" s="354">
        <f t="shared" si="93"/>
        <v>150.82593750000001</v>
      </c>
      <c r="AN18" s="348">
        <f t="shared" si="94"/>
        <v>7495.8170663692126</v>
      </c>
      <c r="AO18" s="348">
        <f t="shared" si="95"/>
        <v>16490.797546012269</v>
      </c>
      <c r="AP18" s="7"/>
      <c r="AQ18" s="349">
        <f t="shared" si="96"/>
        <v>2.2000000000000002</v>
      </c>
      <c r="AR18" s="50">
        <f t="shared" ref="AR18:AR46" si="158">$AR$16*$AG18</f>
        <v>2487240</v>
      </c>
      <c r="AS18" s="51">
        <f t="shared" ref="AS18:AS35" si="159">$AS$16*$AF18</f>
        <v>150.82593750000001</v>
      </c>
      <c r="AT18" s="348">
        <f t="shared" ref="AT18:AT36" si="160">AU18/$AC18</f>
        <v>7495.8170663692126</v>
      </c>
      <c r="AU18" s="348">
        <f t="shared" ref="AU18:AU36" si="161">AR18/AS18</f>
        <v>16490.797546012269</v>
      </c>
      <c r="AV18" s="350">
        <f t="shared" si="49"/>
        <v>2487240</v>
      </c>
      <c r="AW18" s="349">
        <f t="shared" ref="AW18:AW46" si="162">$AW$16*$AF18</f>
        <v>150.82593750000001</v>
      </c>
      <c r="AX18" s="348">
        <f t="shared" ref="AX18:AX36" si="163">AY18/$AC18</f>
        <v>7495.8170663692126</v>
      </c>
      <c r="AY18" s="348">
        <f t="shared" ref="AY18:AY36" si="164">AV18/AW18</f>
        <v>16490.797546012269</v>
      </c>
      <c r="AZ18" s="7"/>
      <c r="BA18" s="24">
        <f t="shared" si="144"/>
        <v>13</v>
      </c>
      <c r="BB18" s="66">
        <f>IF(VLOOKUP($FW$29,SOURCE!$AH$5:$AJ$50,3,FALSE)="CFM56-5B",SOURCE!BB17,SOURCE!BG17)</f>
        <v>25000</v>
      </c>
      <c r="BC18" s="66">
        <f>IF(VLOOKUP($FW$29,SOURCE!$AH$5:$AJ$50,3,FALSE)="CFM56-5B",SOURCE!BC17,SOURCE!BH17)</f>
        <v>124400</v>
      </c>
      <c r="BD18" s="31">
        <f t="shared" si="97"/>
        <v>4.9800000000000004</v>
      </c>
      <c r="BE18" s="13"/>
      <c r="BF18" s="13"/>
      <c r="BG18" s="66" t="str">
        <f t="shared" si="98"/>
        <v/>
      </c>
      <c r="BH18" s="66" t="str">
        <f t="shared" si="99"/>
        <v/>
      </c>
      <c r="BI18" s="66">
        <f t="shared" si="149"/>
        <v>12500</v>
      </c>
      <c r="BJ18" s="13"/>
      <c r="BK18" s="13"/>
      <c r="BL18" s="66">
        <f t="shared" si="100"/>
        <v>124400</v>
      </c>
      <c r="BM18" s="66">
        <f t="shared" si="101"/>
        <v>22410.000000000004</v>
      </c>
      <c r="BN18" s="66">
        <f t="shared" si="102"/>
        <v>25000</v>
      </c>
      <c r="BO18" s="66" t="str">
        <f t="shared" si="103"/>
        <v/>
      </c>
      <c r="BP18" s="66" t="str">
        <f t="shared" si="53"/>
        <v/>
      </c>
      <c r="BQ18" s="66">
        <f t="shared" si="104"/>
        <v>17000</v>
      </c>
      <c r="BR18" s="66" t="str">
        <f t="shared" si="105"/>
        <v/>
      </c>
      <c r="BS18" s="66" t="str">
        <f t="shared" si="106"/>
        <v/>
      </c>
      <c r="BT18" s="66">
        <f t="shared" si="54"/>
        <v>9000</v>
      </c>
      <c r="BU18" s="66">
        <f t="shared" si="107"/>
        <v>124400</v>
      </c>
      <c r="BV18" s="66">
        <f t="shared" si="108"/>
        <v>4976</v>
      </c>
      <c r="BW18" s="66">
        <f t="shared" si="55"/>
        <v>25000</v>
      </c>
      <c r="BX18" s="66" t="str">
        <f t="shared" si="109"/>
        <v/>
      </c>
      <c r="BY18" s="66" t="str">
        <f t="shared" si="56"/>
        <v/>
      </c>
      <c r="BZ18" s="66">
        <f t="shared" si="57"/>
        <v>17000</v>
      </c>
      <c r="CA18" s="66" t="str">
        <f t="shared" si="110"/>
        <v/>
      </c>
      <c r="CB18" s="66" t="str">
        <f t="shared" si="58"/>
        <v/>
      </c>
      <c r="CC18" s="66">
        <f t="shared" si="59"/>
        <v>9000</v>
      </c>
      <c r="CD18" s="66">
        <f t="shared" si="145"/>
        <v>124400</v>
      </c>
      <c r="CE18" s="66">
        <f t="shared" si="60"/>
        <v>4976</v>
      </c>
      <c r="CF18" s="66">
        <f t="shared" si="61"/>
        <v>25000</v>
      </c>
      <c r="CG18" s="66" t="str">
        <f t="shared" si="111"/>
        <v/>
      </c>
      <c r="CH18" s="66" t="str">
        <f t="shared" si="62"/>
        <v/>
      </c>
      <c r="CI18" s="66">
        <f t="shared" si="63"/>
        <v>17000</v>
      </c>
      <c r="CJ18" s="66" t="str">
        <f t="shared" si="112"/>
        <v/>
      </c>
      <c r="CK18" s="66" t="str">
        <f t="shared" si="113"/>
        <v/>
      </c>
      <c r="CL18" s="66">
        <f t="shared" si="64"/>
        <v>9000</v>
      </c>
      <c r="CM18" s="66">
        <f t="shared" si="114"/>
        <v>124400</v>
      </c>
      <c r="CN18" s="66">
        <f t="shared" si="115"/>
        <v>4976</v>
      </c>
      <c r="CO18" s="66">
        <f t="shared" si="116"/>
        <v>25000</v>
      </c>
      <c r="CP18" s="66" t="str">
        <f t="shared" si="117"/>
        <v/>
      </c>
      <c r="CQ18" s="66" t="str">
        <f t="shared" si="118"/>
        <v/>
      </c>
      <c r="CR18" s="66">
        <f t="shared" si="119"/>
        <v>17000</v>
      </c>
      <c r="CS18" s="66" t="str">
        <f t="shared" si="120"/>
        <v/>
      </c>
      <c r="CT18" s="66" t="str">
        <f t="shared" si="121"/>
        <v/>
      </c>
      <c r="CU18" s="66">
        <f t="shared" si="122"/>
        <v>9000</v>
      </c>
      <c r="CV18" s="66">
        <f t="shared" si="123"/>
        <v>124400</v>
      </c>
      <c r="CW18" s="66">
        <f t="shared" si="124"/>
        <v>4976</v>
      </c>
      <c r="CX18" s="66">
        <f t="shared" si="125"/>
        <v>25000</v>
      </c>
      <c r="CY18" s="66" t="str">
        <f t="shared" si="126"/>
        <v/>
      </c>
      <c r="CZ18" s="66" t="str">
        <f t="shared" si="127"/>
        <v/>
      </c>
      <c r="DA18" s="66">
        <f t="shared" si="128"/>
        <v>17000</v>
      </c>
      <c r="DB18" s="9"/>
      <c r="DC18" s="13" t="str">
        <f t="shared" si="154"/>
        <v>Airframe</v>
      </c>
      <c r="DD18" s="13"/>
      <c r="DE18" s="13" t="str">
        <f t="shared" ref="DE18:DE24" si="165">DE7</f>
        <v>2C-Check</v>
      </c>
      <c r="DF18" s="66">
        <f>VLOOKUP($FU$29&amp;DE18,SOURCE!$D$5:$O$38,10,FALSE)</f>
        <v>264480</v>
      </c>
      <c r="DG18" s="13"/>
      <c r="DH18" s="13"/>
      <c r="DI18" s="14">
        <f t="shared" si="155"/>
        <v>18</v>
      </c>
      <c r="DJ18" s="66">
        <f>IF(DF18="","",DF18/DI18)</f>
        <v>14693.333333333334</v>
      </c>
      <c r="DK18" s="31">
        <f>DJ18/($M$7/12)</f>
        <v>50.377142857142857</v>
      </c>
      <c r="DM18" s="44">
        <f t="shared" si="129"/>
        <v>12</v>
      </c>
      <c r="DN18" s="41">
        <f t="shared" si="65"/>
        <v>12272520</v>
      </c>
      <c r="DO18" s="41">
        <f t="shared" si="130"/>
        <v>122596.73076923078</v>
      </c>
      <c r="DP18" s="42">
        <f t="shared" si="66"/>
        <v>0</v>
      </c>
      <c r="DQ18" s="42">
        <f t="shared" si="67"/>
        <v>0</v>
      </c>
      <c r="DR18" s="42">
        <f t="shared" si="68"/>
        <v>0</v>
      </c>
      <c r="DS18" s="42">
        <f t="shared" si="69"/>
        <v>0</v>
      </c>
      <c r="DT18" s="42">
        <f t="shared" si="70"/>
        <v>0</v>
      </c>
      <c r="DU18" s="42">
        <f t="shared" si="71"/>
        <v>0</v>
      </c>
      <c r="DV18" s="42">
        <f t="shared" si="72"/>
        <v>0</v>
      </c>
      <c r="DW18" s="42">
        <f t="shared" si="73"/>
        <v>0</v>
      </c>
      <c r="DX18" s="42">
        <f t="shared" si="74"/>
        <v>1471160.7692307699</v>
      </c>
      <c r="DY18" s="42">
        <f>IF(DM18="",DY17,DN18-SUM($DO$6:DO18)+SUM($DP$6:DV18)-SUM($DW$6:DW18))</f>
        <v>10801359.23076923</v>
      </c>
      <c r="DZ18" s="43">
        <f t="shared" si="131"/>
        <v>0.88012561648049703</v>
      </c>
      <c r="EA18" s="43"/>
      <c r="EB18" s="43" t="str">
        <f t="shared" si="146"/>
        <v>True</v>
      </c>
      <c r="EC18" s="41">
        <f t="shared" si="132"/>
        <v>185400</v>
      </c>
      <c r="ED18" s="41">
        <f t="shared" si="133"/>
        <v>606690</v>
      </c>
      <c r="EE18" s="41">
        <f t="shared" si="75"/>
        <v>902280</v>
      </c>
      <c r="EF18" s="41">
        <f t="shared" si="147"/>
        <v>10300</v>
      </c>
      <c r="EG18" s="42">
        <f t="shared" si="134"/>
        <v>8426.25</v>
      </c>
      <c r="EH18" s="42">
        <f t="shared" si="135"/>
        <v>6265.8333333333321</v>
      </c>
      <c r="EI18" s="42">
        <f t="shared" si="76"/>
        <v>123600</v>
      </c>
      <c r="EJ18" s="42">
        <f t="shared" si="136"/>
        <v>101115</v>
      </c>
      <c r="EK18" s="42">
        <f t="shared" si="77"/>
        <v>75190</v>
      </c>
      <c r="EL18" s="42">
        <f>IF(DM18="","",EC18-SUM($EF$6:EF18)+SUM($DP$6:DP18))</f>
        <v>61800</v>
      </c>
      <c r="EM18" s="42">
        <f>IF(DM18="","",ED18-SUM($EG$6:EG18)+SUM($DQ$6:DQ18))</f>
        <v>505575</v>
      </c>
      <c r="EN18" s="42">
        <f>IF(DM18="","",EE18-SUM($EH$6:EH18)+SUM($DR$6:DR18))</f>
        <v>827090</v>
      </c>
      <c r="EO18" s="152">
        <f t="shared" si="148"/>
        <v>0.82299910881330529</v>
      </c>
      <c r="EP18" s="43"/>
      <c r="EQ18" s="42">
        <f t="shared" si="78"/>
        <v>448050</v>
      </c>
      <c r="ER18" s="42">
        <f t="shared" si="79"/>
        <v>248100</v>
      </c>
      <c r="ES18" s="42">
        <f t="shared" si="137"/>
        <v>3733.75</v>
      </c>
      <c r="ET18" s="42">
        <f t="shared" si="138"/>
        <v>6122.9807692307695</v>
      </c>
      <c r="EU18" s="42">
        <f t="shared" si="80"/>
        <v>44805</v>
      </c>
      <c r="EV18" s="42">
        <f t="shared" si="81"/>
        <v>73476</v>
      </c>
      <c r="EW18" s="42">
        <f>IF(DM18="","",IF(DS18&gt;0,DS18,EQ18-SUM($ES$6:ES18)+SUM($DS$6:DS18)))</f>
        <v>403245</v>
      </c>
      <c r="EX18" s="42">
        <f>IF(DM18="","",IF(DT18&gt;0,DT18,ER18-SUM($ET$6:ET18)+SUM($DT$6:DT18)))</f>
        <v>174624.23076923078</v>
      </c>
      <c r="EY18" s="43">
        <f t="shared" si="82"/>
        <v>0.7038461538461539</v>
      </c>
      <c r="EZ18" s="43">
        <f t="shared" si="83"/>
        <v>0.9</v>
      </c>
      <c r="FA18" s="43"/>
      <c r="FB18" s="42">
        <f t="shared" si="84"/>
        <v>4700000</v>
      </c>
      <c r="FC18" s="42">
        <f t="shared" si="85"/>
        <v>5182000</v>
      </c>
      <c r="FD18" s="41">
        <f t="shared" si="139"/>
        <v>54833.333333333336</v>
      </c>
      <c r="FE18" s="41">
        <f t="shared" si="140"/>
        <v>32914.583333333336</v>
      </c>
      <c r="FF18" s="42">
        <f t="shared" si="86"/>
        <v>658000</v>
      </c>
      <c r="FG18" s="42">
        <f t="shared" si="87"/>
        <v>394975</v>
      </c>
      <c r="FH18" s="42">
        <f>IF(DM18="","",IF(DU18&gt;0,DU18,FB18-SUM($FD$6:FD18)+SUM($DU$6:DU18)))</f>
        <v>4042000</v>
      </c>
      <c r="FI18" s="42">
        <f>IF(DM18="","",FC18-SUM($FE$6:FE18)+SUM($DV$6:DV18)-SUM($DW$6:DW18))</f>
        <v>4787025</v>
      </c>
      <c r="FJ18" s="152">
        <f t="shared" si="88"/>
        <v>0.89344515280307635</v>
      </c>
      <c r="FL18" s="25"/>
      <c r="FM18" s="23"/>
      <c r="FN18" s="8"/>
      <c r="FO18" s="8"/>
      <c r="FP18" s="8"/>
      <c r="FQ18" s="8"/>
      <c r="FR18" s="27">
        <v>2.2000000000000002</v>
      </c>
      <c r="FS18" s="21">
        <v>0.12</v>
      </c>
      <c r="FT18" s="21"/>
      <c r="FU18" s="21"/>
      <c r="FV18" s="8"/>
      <c r="FW18" s="8"/>
      <c r="GC18" s="68">
        <f t="shared" si="26"/>
        <v>13</v>
      </c>
      <c r="GD18" s="78">
        <f t="shared" si="27"/>
        <v>0</v>
      </c>
      <c r="GE18" s="309">
        <f t="shared" si="28"/>
        <v>0.87013608452053859</v>
      </c>
      <c r="GF18" s="78">
        <f t="shared" si="29"/>
        <v>0</v>
      </c>
      <c r="GG18" s="310">
        <f t="shared" si="30"/>
        <v>0.80824903454774744</v>
      </c>
      <c r="GH18" s="78">
        <f t="shared" si="31"/>
        <v>0</v>
      </c>
      <c r="GI18" s="310">
        <f t="shared" si="32"/>
        <v>0.89166666666666672</v>
      </c>
      <c r="GJ18" s="311">
        <f t="shared" si="33"/>
        <v>0</v>
      </c>
      <c r="GK18" s="310">
        <f t="shared" si="34"/>
        <v>0.6791666666666667</v>
      </c>
      <c r="GL18" s="311">
        <f t="shared" si="35"/>
        <v>0</v>
      </c>
      <c r="GM18" s="310">
        <f t="shared" si="36"/>
        <v>0.8845655822033327</v>
      </c>
      <c r="GO18" s="266" t="s">
        <v>83</v>
      </c>
      <c r="GP18" s="266" t="s">
        <v>186</v>
      </c>
      <c r="GQ18" s="14" t="str">
        <f>IF(GS18="","",COUNT($GS$4:GS18))</f>
        <v/>
      </c>
      <c r="GR18" s="24" t="str">
        <f t="shared" ref="GR18:GR44" si="166">IF(GQ18="","",GP18)</f>
        <v/>
      </c>
      <c r="GS18" s="14" t="str">
        <f>IF(GS17="","",IF(ROUND($DI$10,0)+GS17&gt;=$FW$23,"",2*$GS$17))</f>
        <v/>
      </c>
      <c r="GU18" s="66" t="str">
        <f>IF(GS18="","",$DF$10)</f>
        <v/>
      </c>
      <c r="GV18" s="264"/>
      <c r="GW18" s="264"/>
      <c r="GX18" s="13"/>
      <c r="GY18" s="14"/>
      <c r="GZ18" s="13"/>
      <c r="HA18" s="14">
        <f>IF(HC18="","",_xlfn.RANK.EQ(HC18,$HC$4:$HC$44,1)+COUNTIF($HC$4:$HC$44,HC18)-COUNTIF($HC$4:HC18,HC18))</f>
        <v>3</v>
      </c>
      <c r="HB18" s="24">
        <f t="shared" si="39"/>
        <v>15</v>
      </c>
      <c r="HC18" s="14">
        <f t="shared" si="0"/>
        <v>41</v>
      </c>
      <c r="HD18" s="24" t="str">
        <f t="shared" si="40"/>
        <v>APU</v>
      </c>
      <c r="HE18" s="13" t="str">
        <f t="shared" si="1"/>
        <v>SV</v>
      </c>
      <c r="HF18" s="13" t="str">
        <f t="shared" si="153"/>
        <v>15    APU  SV</v>
      </c>
      <c r="HG18" s="13"/>
      <c r="HH18" s="24" t="str">
        <f t="shared" si="3"/>
        <v/>
      </c>
      <c r="HI18" s="66">
        <f t="shared" si="4"/>
        <v>248100</v>
      </c>
      <c r="HJ18" s="82" t="str">
        <f t="shared" si="5"/>
        <v/>
      </c>
      <c r="HK18" s="66" t="str">
        <f t="shared" si="6"/>
        <v/>
      </c>
      <c r="HL18" s="66" t="str">
        <f t="shared" si="7"/>
        <v/>
      </c>
      <c r="HM18" s="66" t="str">
        <f t="shared" si="8"/>
        <v/>
      </c>
      <c r="HN18" s="24">
        <f t="shared" si="141"/>
        <v>15</v>
      </c>
      <c r="HO18" s="14">
        <f t="shared" si="9"/>
        <v>144</v>
      </c>
      <c r="HP18" s="24" t="str">
        <f t="shared" si="10"/>
        <v>Airframe</v>
      </c>
      <c r="HQ18" s="24" t="str">
        <f t="shared" si="11"/>
        <v>12Y SI</v>
      </c>
      <c r="HR18" s="13" t="str">
        <f t="shared" si="151"/>
        <v>15       Airframe  12Y SI</v>
      </c>
      <c r="HT18" s="13" t="str">
        <f t="shared" si="12"/>
        <v/>
      </c>
      <c r="HU18" s="75">
        <f t="shared" si="13"/>
        <v>902280</v>
      </c>
      <c r="HV18" s="75" t="str">
        <f t="shared" si="42"/>
        <v/>
      </c>
      <c r="HW18" s="75" t="str">
        <f t="shared" si="14"/>
        <v/>
      </c>
      <c r="HX18" s="75" t="str">
        <f t="shared" si="15"/>
        <v/>
      </c>
      <c r="HY18" s="66" t="str">
        <f t="shared" si="16"/>
        <v/>
      </c>
      <c r="HZ18" s="151" t="str">
        <f t="shared" si="17"/>
        <v>APU</v>
      </c>
      <c r="IA18" s="151" t="str">
        <f t="shared" si="18"/>
        <v>15    APU  SV</v>
      </c>
      <c r="IB18" s="151"/>
      <c r="IC18" s="149">
        <f t="shared" si="19"/>
        <v>41</v>
      </c>
      <c r="ID18" s="151" t="str">
        <f t="shared" si="20"/>
        <v/>
      </c>
      <c r="IE18" s="33">
        <f t="shared" si="21"/>
        <v>248100</v>
      </c>
      <c r="IF18" s="33" t="str">
        <f t="shared" si="22"/>
        <v/>
      </c>
      <c r="IG18" s="33" t="str">
        <f t="shared" si="23"/>
        <v/>
      </c>
      <c r="IH18" s="33" t="str">
        <f t="shared" si="24"/>
        <v/>
      </c>
      <c r="II18" s="33" t="str">
        <f t="shared" si="25"/>
        <v/>
      </c>
      <c r="IM18" s="13"/>
      <c r="IN18" s="13"/>
      <c r="IO18" s="13"/>
      <c r="IP18" s="13"/>
      <c r="IQ18" s="13"/>
    </row>
    <row r="19" spans="1:251" ht="12" x14ac:dyDescent="0.2">
      <c r="B19" s="556"/>
      <c r="C19" s="26"/>
      <c r="D19" s="26"/>
      <c r="E19" s="26"/>
      <c r="F19" s="26"/>
      <c r="G19" s="26"/>
      <c r="H19" s="26"/>
      <c r="I19" s="26"/>
      <c r="J19" s="26"/>
      <c r="K19" s="26"/>
      <c r="L19" s="26"/>
      <c r="M19" s="26"/>
      <c r="N19" s="26"/>
      <c r="O19" s="26"/>
      <c r="P19" s="26"/>
      <c r="Q19" s="26"/>
      <c r="R19" s="26"/>
      <c r="S19" s="26"/>
      <c r="T19" s="26"/>
      <c r="U19" s="26"/>
      <c r="V19" s="26"/>
      <c r="W19" s="307"/>
      <c r="X19" s="307"/>
      <c r="Y19" s="229"/>
      <c r="AC19" s="20">
        <v>2.2999999999999998</v>
      </c>
      <c r="AD19" s="18">
        <f>AD18-($AD$16-$AD$21)/5</f>
        <v>0.96699999999999997</v>
      </c>
      <c r="AE19" s="18">
        <f>AE18-($AE$16-$AE$21)/5</f>
        <v>1.012</v>
      </c>
      <c r="AF19" s="18">
        <f>AF18-($AF$16-$AF$21)/5</f>
        <v>0.96699999999999997</v>
      </c>
      <c r="AG19" s="18">
        <f>AG18-($AG$16-$AG$21)/5</f>
        <v>1.012</v>
      </c>
      <c r="AH19" s="50">
        <f t="shared" si="156"/>
        <v>2378200</v>
      </c>
      <c r="AI19" s="51">
        <f t="shared" si="157"/>
        <v>90.897999999999996</v>
      </c>
      <c r="AJ19" s="50">
        <f t="shared" si="91"/>
        <v>11375.387797311272</v>
      </c>
      <c r="AK19" s="50">
        <f t="shared" si="92"/>
        <v>26163.391933815925</v>
      </c>
      <c r="AL19" s="348">
        <f t="shared" si="152"/>
        <v>2497110</v>
      </c>
      <c r="AM19" s="354">
        <f t="shared" si="93"/>
        <v>149.12953124999999</v>
      </c>
      <c r="AN19" s="348">
        <f t="shared" si="94"/>
        <v>7280.2481902792151</v>
      </c>
      <c r="AO19" s="348">
        <f t="shared" si="95"/>
        <v>16744.570837642194</v>
      </c>
      <c r="AP19" s="7"/>
      <c r="AQ19" s="349">
        <f t="shared" si="96"/>
        <v>2.2999999999999998</v>
      </c>
      <c r="AR19" s="50">
        <f t="shared" si="158"/>
        <v>2497110</v>
      </c>
      <c r="AS19" s="51">
        <f>$AS$16*$AF19</f>
        <v>149.12953124999999</v>
      </c>
      <c r="AT19" s="348">
        <f t="shared" si="160"/>
        <v>7280.2481902792151</v>
      </c>
      <c r="AU19" s="348">
        <f t="shared" si="161"/>
        <v>16744.570837642194</v>
      </c>
      <c r="AV19" s="350">
        <f t="shared" si="49"/>
        <v>2497110</v>
      </c>
      <c r="AW19" s="349">
        <f t="shared" si="162"/>
        <v>149.12953124999999</v>
      </c>
      <c r="AX19" s="348">
        <f t="shared" si="163"/>
        <v>7280.2481902792151</v>
      </c>
      <c r="AY19" s="348">
        <f t="shared" si="164"/>
        <v>16744.570837642194</v>
      </c>
      <c r="AZ19" s="7"/>
      <c r="BA19" s="24">
        <f t="shared" si="144"/>
        <v>14</v>
      </c>
      <c r="BB19" s="66">
        <f>IF(VLOOKUP($FW$29,SOURCE!$AH$5:$AJ$50,3,FALSE)="CFM56-5B",SOURCE!BB18,SOURCE!BG18)</f>
        <v>25000</v>
      </c>
      <c r="BC19" s="66">
        <f>IF(VLOOKUP($FW$29,SOURCE!$AH$5:$AJ$50,3,FALSE)="CFM56-5B",SOURCE!BC18,SOURCE!BH18)</f>
        <v>189600</v>
      </c>
      <c r="BD19" s="31">
        <f t="shared" si="97"/>
        <v>7.58</v>
      </c>
      <c r="BE19" s="13"/>
      <c r="BF19" s="13"/>
      <c r="BG19" s="66" t="str">
        <f t="shared" si="98"/>
        <v/>
      </c>
      <c r="BH19" s="66" t="str">
        <f t="shared" si="99"/>
        <v/>
      </c>
      <c r="BI19" s="66">
        <f t="shared" si="149"/>
        <v>12500</v>
      </c>
      <c r="BJ19" s="13"/>
      <c r="BK19" s="13"/>
      <c r="BL19" s="66">
        <f t="shared" si="100"/>
        <v>189600</v>
      </c>
      <c r="BM19" s="66">
        <f t="shared" si="101"/>
        <v>34110</v>
      </c>
      <c r="BN19" s="66">
        <f t="shared" si="102"/>
        <v>25000</v>
      </c>
      <c r="BO19" s="66" t="str">
        <f t="shared" si="103"/>
        <v/>
      </c>
      <c r="BP19" s="66" t="str">
        <f t="shared" si="53"/>
        <v/>
      </c>
      <c r="BQ19" s="66">
        <f t="shared" si="104"/>
        <v>17000</v>
      </c>
      <c r="BR19" s="66" t="str">
        <f t="shared" si="105"/>
        <v/>
      </c>
      <c r="BS19" s="66" t="str">
        <f t="shared" si="106"/>
        <v/>
      </c>
      <c r="BT19" s="66">
        <f t="shared" si="54"/>
        <v>9000</v>
      </c>
      <c r="BU19" s="66">
        <f t="shared" si="107"/>
        <v>189600</v>
      </c>
      <c r="BV19" s="66">
        <f t="shared" si="108"/>
        <v>7584</v>
      </c>
      <c r="BW19" s="66">
        <f t="shared" si="55"/>
        <v>25000</v>
      </c>
      <c r="BX19" s="66" t="str">
        <f t="shared" si="109"/>
        <v/>
      </c>
      <c r="BY19" s="66" t="str">
        <f t="shared" si="56"/>
        <v/>
      </c>
      <c r="BZ19" s="66">
        <f t="shared" si="57"/>
        <v>17000</v>
      </c>
      <c r="CA19" s="66" t="str">
        <f t="shared" si="110"/>
        <v/>
      </c>
      <c r="CB19" s="66" t="str">
        <f t="shared" si="58"/>
        <v/>
      </c>
      <c r="CC19" s="66">
        <f t="shared" si="59"/>
        <v>9000</v>
      </c>
      <c r="CD19" s="66">
        <f t="shared" si="145"/>
        <v>189600</v>
      </c>
      <c r="CE19" s="66">
        <f t="shared" si="60"/>
        <v>7584</v>
      </c>
      <c r="CF19" s="66">
        <f t="shared" si="61"/>
        <v>25000</v>
      </c>
      <c r="CG19" s="66" t="str">
        <f t="shared" si="111"/>
        <v/>
      </c>
      <c r="CH19" s="66" t="str">
        <f t="shared" si="62"/>
        <v/>
      </c>
      <c r="CI19" s="66">
        <f t="shared" si="63"/>
        <v>17000</v>
      </c>
      <c r="CJ19" s="66" t="str">
        <f t="shared" si="112"/>
        <v/>
      </c>
      <c r="CK19" s="66" t="str">
        <f t="shared" si="113"/>
        <v/>
      </c>
      <c r="CL19" s="66">
        <f t="shared" si="64"/>
        <v>9000</v>
      </c>
      <c r="CM19" s="66">
        <f t="shared" si="114"/>
        <v>189600</v>
      </c>
      <c r="CN19" s="66">
        <f t="shared" si="115"/>
        <v>7584</v>
      </c>
      <c r="CO19" s="66">
        <f t="shared" si="116"/>
        <v>25000</v>
      </c>
      <c r="CP19" s="66" t="str">
        <f t="shared" si="117"/>
        <v/>
      </c>
      <c r="CQ19" s="66" t="str">
        <f t="shared" si="118"/>
        <v/>
      </c>
      <c r="CR19" s="66">
        <f t="shared" si="119"/>
        <v>17000</v>
      </c>
      <c r="CS19" s="66" t="str">
        <f t="shared" si="120"/>
        <v/>
      </c>
      <c r="CT19" s="66" t="str">
        <f t="shared" si="121"/>
        <v/>
      </c>
      <c r="CU19" s="66">
        <f t="shared" si="122"/>
        <v>9000</v>
      </c>
      <c r="CV19" s="66">
        <f t="shared" si="123"/>
        <v>189600</v>
      </c>
      <c r="CW19" s="66">
        <f t="shared" si="124"/>
        <v>7584</v>
      </c>
      <c r="CX19" s="66">
        <f t="shared" si="125"/>
        <v>25000</v>
      </c>
      <c r="CY19" s="66" t="str">
        <f t="shared" si="126"/>
        <v/>
      </c>
      <c r="CZ19" s="66" t="str">
        <f t="shared" si="127"/>
        <v/>
      </c>
      <c r="DA19" s="66">
        <f t="shared" si="128"/>
        <v>17000</v>
      </c>
      <c r="DB19" s="9"/>
      <c r="DC19" s="13" t="str">
        <f t="shared" si="154"/>
        <v>Airframe</v>
      </c>
      <c r="DE19" s="13" t="str">
        <f t="shared" si="165"/>
        <v>6Y SI</v>
      </c>
      <c r="DF19" s="66">
        <f>VLOOKUP($FU$29&amp;DE19,SOURCE!$D$5:$O$38,10,FALSE)</f>
        <v>686673.49999999988</v>
      </c>
      <c r="DI19" s="14">
        <f t="shared" si="155"/>
        <v>72</v>
      </c>
      <c r="DJ19" s="66">
        <f>IF(DF19="","",DF19/DI19)</f>
        <v>9537.1319444444434</v>
      </c>
      <c r="DK19" s="31">
        <f>DJ19/($M$7/12)</f>
        <v>32.698738095238092</v>
      </c>
      <c r="DM19" s="44">
        <f t="shared" si="129"/>
        <v>13</v>
      </c>
      <c r="DN19" s="41">
        <f t="shared" si="65"/>
        <v>12272520</v>
      </c>
      <c r="DO19" s="41">
        <f t="shared" si="130"/>
        <v>122596.73076923078</v>
      </c>
      <c r="DP19" s="42">
        <f t="shared" si="66"/>
        <v>0</v>
      </c>
      <c r="DQ19" s="42">
        <f t="shared" si="67"/>
        <v>0</v>
      </c>
      <c r="DR19" s="42">
        <f t="shared" si="68"/>
        <v>0</v>
      </c>
      <c r="DS19" s="42">
        <f t="shared" si="69"/>
        <v>0</v>
      </c>
      <c r="DT19" s="42">
        <f t="shared" si="70"/>
        <v>0</v>
      </c>
      <c r="DU19" s="42">
        <f t="shared" si="71"/>
        <v>0</v>
      </c>
      <c r="DV19" s="42">
        <f t="shared" si="72"/>
        <v>0</v>
      </c>
      <c r="DW19" s="42">
        <f t="shared" si="73"/>
        <v>0</v>
      </c>
      <c r="DX19" s="42">
        <f t="shared" si="74"/>
        <v>1593757.5</v>
      </c>
      <c r="DY19" s="42">
        <f>IF(DM19="",DY18,DN19-SUM($DO$6:DO19)+SUM($DP$6:DV19)-SUM($DW$6:DW19))</f>
        <v>10678762.5</v>
      </c>
      <c r="DZ19" s="43">
        <f t="shared" si="131"/>
        <v>0.87013608452053859</v>
      </c>
      <c r="EA19" s="43"/>
      <c r="EB19" s="43" t="str">
        <f t="shared" si="146"/>
        <v>True</v>
      </c>
      <c r="EC19" s="41">
        <f t="shared" si="132"/>
        <v>185400</v>
      </c>
      <c r="ED19" s="41">
        <f t="shared" si="133"/>
        <v>606690</v>
      </c>
      <c r="EE19" s="41">
        <f t="shared" si="75"/>
        <v>902280</v>
      </c>
      <c r="EF19" s="41">
        <f t="shared" si="147"/>
        <v>10300</v>
      </c>
      <c r="EG19" s="42">
        <f t="shared" si="134"/>
        <v>8426.25</v>
      </c>
      <c r="EH19" s="42">
        <f t="shared" si="135"/>
        <v>6265.8333333333321</v>
      </c>
      <c r="EI19" s="42">
        <f t="shared" si="76"/>
        <v>133900</v>
      </c>
      <c r="EJ19" s="42">
        <f t="shared" si="136"/>
        <v>109541</v>
      </c>
      <c r="EK19" s="42">
        <f t="shared" si="77"/>
        <v>81456</v>
      </c>
      <c r="EL19" s="42">
        <f>IF(DM19="","",EC19-SUM($EF$6:EF19)+SUM($DP$6:DP19))</f>
        <v>51500</v>
      </c>
      <c r="EM19" s="42">
        <f>IF(DM19="","",ED19-SUM($EG$6:EG19)+SUM($DQ$6:DQ19))</f>
        <v>497148.75</v>
      </c>
      <c r="EN19" s="42">
        <f>IF(DM19="","",EE19-SUM($EH$6:EH19)+SUM($DR$6:DR19))</f>
        <v>820824.16666666674</v>
      </c>
      <c r="EO19" s="152">
        <f t="shared" si="148"/>
        <v>0.80824903454774744</v>
      </c>
      <c r="EP19" s="43"/>
      <c r="EQ19" s="42">
        <f t="shared" si="78"/>
        <v>448050</v>
      </c>
      <c r="ER19" s="42">
        <f t="shared" si="79"/>
        <v>248100</v>
      </c>
      <c r="ES19" s="42">
        <f t="shared" si="137"/>
        <v>3733.75</v>
      </c>
      <c r="ET19" s="42">
        <f t="shared" si="138"/>
        <v>6122.9807692307695</v>
      </c>
      <c r="EU19" s="42">
        <f t="shared" si="80"/>
        <v>48539</v>
      </c>
      <c r="EV19" s="42">
        <f t="shared" si="81"/>
        <v>79599</v>
      </c>
      <c r="EW19" s="42">
        <f>IF(DM19="","",IF(DS19&gt;0,DS19,EQ19-SUM($ES$6:ES19)+SUM($DS$6:DS19)))</f>
        <v>399511.25</v>
      </c>
      <c r="EX19" s="42">
        <f>IF(DM19="","",IF(DT19&gt;0,DT19,ER19-SUM($ET$6:ET19)+SUM($DT$6:DT19)))</f>
        <v>168501.25</v>
      </c>
      <c r="EY19" s="43">
        <f t="shared" si="82"/>
        <v>0.6791666666666667</v>
      </c>
      <c r="EZ19" s="43">
        <f t="shared" si="83"/>
        <v>0.89166666666666672</v>
      </c>
      <c r="FA19" s="43"/>
      <c r="FB19" s="42">
        <f t="shared" si="84"/>
        <v>4700000</v>
      </c>
      <c r="FC19" s="42">
        <f t="shared" si="85"/>
        <v>5182000</v>
      </c>
      <c r="FD19" s="41">
        <f t="shared" si="139"/>
        <v>54833.333333333336</v>
      </c>
      <c r="FE19" s="41">
        <f t="shared" si="140"/>
        <v>32914.583333333336</v>
      </c>
      <c r="FF19" s="42">
        <f t="shared" si="86"/>
        <v>712833</v>
      </c>
      <c r="FG19" s="42">
        <f t="shared" si="87"/>
        <v>427890</v>
      </c>
      <c r="FH19" s="42">
        <f>IF(DM19="","",IF(DU19&gt;0,DU19,FB19-SUM($FD$6:FD19)+SUM($DU$6:DU19)))</f>
        <v>3987166.6666666665</v>
      </c>
      <c r="FI19" s="42">
        <f>IF(DM19="","",FC19-SUM($FE$6:FE19)+SUM($DV$6:DV19)-SUM($DW$6:DW19))</f>
        <v>4754110.416666667</v>
      </c>
      <c r="FJ19" s="152">
        <f t="shared" si="88"/>
        <v>0.8845655822033327</v>
      </c>
      <c r="FL19" s="25"/>
      <c r="FM19" s="23"/>
      <c r="FN19" s="8"/>
      <c r="FO19" s="8"/>
      <c r="FP19" s="8"/>
      <c r="FQ19" s="8"/>
      <c r="FR19" s="27">
        <v>2.2999999999999998</v>
      </c>
      <c r="FS19" s="21">
        <v>0.13</v>
      </c>
      <c r="FT19" s="21"/>
      <c r="FU19" s="21"/>
      <c r="FV19" s="8"/>
      <c r="FW19" s="8"/>
      <c r="GC19" s="68">
        <f t="shared" si="26"/>
        <v>14</v>
      </c>
      <c r="GD19" s="78">
        <f t="shared" si="27"/>
        <v>0</v>
      </c>
      <c r="GE19" s="309">
        <f t="shared" si="28"/>
        <v>0.86014655256058004</v>
      </c>
      <c r="GF19" s="78">
        <f t="shared" si="29"/>
        <v>0</v>
      </c>
      <c r="GG19" s="310">
        <f t="shared" si="30"/>
        <v>0.79349896028218958</v>
      </c>
      <c r="GH19" s="78">
        <f t="shared" si="31"/>
        <v>0</v>
      </c>
      <c r="GI19" s="310">
        <f t="shared" si="32"/>
        <v>0.8833333333333333</v>
      </c>
      <c r="GJ19" s="311">
        <f t="shared" si="33"/>
        <v>0</v>
      </c>
      <c r="GK19" s="310">
        <f t="shared" si="34"/>
        <v>0.6544871794871796</v>
      </c>
      <c r="GL19" s="311">
        <f t="shared" si="35"/>
        <v>0</v>
      </c>
      <c r="GM19" s="310">
        <f t="shared" si="36"/>
        <v>0.87568601160358894</v>
      </c>
      <c r="GO19" s="266" t="s">
        <v>83</v>
      </c>
      <c r="GP19" s="266" t="s">
        <v>186</v>
      </c>
      <c r="GQ19" s="14" t="str">
        <f>IF(GS19="","",COUNT($GS$4:GS19))</f>
        <v/>
      </c>
      <c r="GR19" s="24" t="str">
        <f t="shared" si="166"/>
        <v/>
      </c>
      <c r="GS19" s="14" t="str">
        <f>IF(GS18="","",IF(ROUND($DI$10,0)+GS18&gt;$FW$23,"",3*$GS$17))</f>
        <v/>
      </c>
      <c r="GU19" s="66" t="str">
        <f>IF(GS19="","",$DF$10)</f>
        <v/>
      </c>
      <c r="GV19" s="13"/>
      <c r="GW19" s="13"/>
      <c r="GX19" s="13"/>
      <c r="GY19" s="14"/>
      <c r="GZ19" s="13"/>
      <c r="HA19" s="14">
        <f>IF(HC19="","",_xlfn.RANK.EQ(HC19,$HC$4:$HC$44,1)+COUNTIF($HC$4:$HC$44,HC19)-COUNTIF($HC$4:HC19,HC19))</f>
        <v>7</v>
      </c>
      <c r="HB19" s="24">
        <f t="shared" si="39"/>
        <v>16</v>
      </c>
      <c r="HC19" s="14">
        <f t="shared" si="0"/>
        <v>82</v>
      </c>
      <c r="HD19" s="24" t="str">
        <f t="shared" si="40"/>
        <v>APU</v>
      </c>
      <c r="HE19" s="13" t="str">
        <f t="shared" si="1"/>
        <v>SV</v>
      </c>
      <c r="HF19" s="13" t="str">
        <f t="shared" si="153"/>
        <v>16    APU  SV</v>
      </c>
      <c r="HG19" s="13"/>
      <c r="HH19" s="24" t="str">
        <f t="shared" si="3"/>
        <v/>
      </c>
      <c r="HI19" s="66">
        <f t="shared" si="4"/>
        <v>248100</v>
      </c>
      <c r="HJ19" s="82" t="str">
        <f t="shared" si="5"/>
        <v/>
      </c>
      <c r="HK19" s="66" t="str">
        <f t="shared" si="6"/>
        <v/>
      </c>
      <c r="HL19" s="66" t="str">
        <f t="shared" si="7"/>
        <v/>
      </c>
      <c r="HM19" s="66" t="str">
        <f t="shared" si="8"/>
        <v/>
      </c>
      <c r="HN19" s="24">
        <f t="shared" si="141"/>
        <v>16</v>
      </c>
      <c r="HO19" s="14">
        <f t="shared" si="9"/>
        <v>144</v>
      </c>
      <c r="HP19" s="24" t="str">
        <f t="shared" si="10"/>
        <v>Airframe</v>
      </c>
      <c r="HQ19" s="24" t="str">
        <f t="shared" si="11"/>
        <v>6Y SI</v>
      </c>
      <c r="HR19" s="13" t="str">
        <f t="shared" si="151"/>
        <v>16       Airframe  6Y SI</v>
      </c>
      <c r="HT19" s="13" t="str">
        <f t="shared" si="12"/>
        <v/>
      </c>
      <c r="HU19" s="75">
        <f t="shared" si="13"/>
        <v>686673.49999999988</v>
      </c>
      <c r="HV19" s="75" t="str">
        <f t="shared" si="42"/>
        <v/>
      </c>
      <c r="HW19" s="75" t="str">
        <f t="shared" si="14"/>
        <v/>
      </c>
      <c r="HX19" s="75" t="str">
        <f t="shared" si="15"/>
        <v/>
      </c>
      <c r="HY19" s="66" t="str">
        <f t="shared" si="16"/>
        <v/>
      </c>
      <c r="HZ19" s="151" t="str">
        <f t="shared" si="17"/>
        <v>APU</v>
      </c>
      <c r="IA19" s="151" t="str">
        <f t="shared" si="18"/>
        <v>16    APU  SV</v>
      </c>
      <c r="IB19" s="151"/>
      <c r="IC19" s="149">
        <f t="shared" si="19"/>
        <v>82</v>
      </c>
      <c r="ID19" s="151" t="str">
        <f t="shared" si="20"/>
        <v/>
      </c>
      <c r="IE19" s="33">
        <f t="shared" si="21"/>
        <v>248100</v>
      </c>
      <c r="IF19" s="33" t="str">
        <f t="shared" si="22"/>
        <v/>
      </c>
      <c r="IG19" s="33" t="str">
        <f t="shared" si="23"/>
        <v/>
      </c>
      <c r="IH19" s="33" t="str">
        <f t="shared" si="24"/>
        <v/>
      </c>
      <c r="II19" s="33" t="str">
        <f t="shared" si="25"/>
        <v/>
      </c>
      <c r="IM19" s="13"/>
      <c r="IN19" s="13"/>
      <c r="IO19" s="13"/>
      <c r="IP19" s="13"/>
      <c r="IQ19" s="13"/>
    </row>
    <row r="20" spans="1:251" ht="12" x14ac:dyDescent="0.2">
      <c r="B20" s="556"/>
      <c r="C20" s="26"/>
      <c r="D20" s="26"/>
      <c r="E20" s="26"/>
      <c r="F20" s="26"/>
      <c r="G20" s="26"/>
      <c r="H20" s="26"/>
      <c r="I20" s="26"/>
      <c r="J20" s="26"/>
      <c r="K20" s="26"/>
      <c r="L20" s="26"/>
      <c r="M20" s="26"/>
      <c r="N20" s="26"/>
      <c r="O20" s="26"/>
      <c r="P20" s="26"/>
      <c r="Q20" s="26"/>
      <c r="R20" s="26"/>
      <c r="S20" s="26"/>
      <c r="T20" s="26"/>
      <c r="U20" s="26"/>
      <c r="V20" s="26"/>
      <c r="W20" s="307"/>
      <c r="X20" s="307"/>
      <c r="Y20" s="229"/>
      <c r="AC20" s="20">
        <v>2.4</v>
      </c>
      <c r="AD20" s="18">
        <f>AD19-($AD$16-$AD$21)/5</f>
        <v>0.95599999999999996</v>
      </c>
      <c r="AE20" s="18">
        <f>AE19-($AE$16-$AE$21)/5</f>
        <v>1.016</v>
      </c>
      <c r="AF20" s="18">
        <f>AF19-($AF$16-$AF$21)/5</f>
        <v>0.95599999999999996</v>
      </c>
      <c r="AG20" s="18">
        <f>AG19-($AG$16-$AG$21)/5</f>
        <v>1.016</v>
      </c>
      <c r="AH20" s="50">
        <f t="shared" si="156"/>
        <v>2387600</v>
      </c>
      <c r="AI20" s="51">
        <f t="shared" si="157"/>
        <v>89.86399999999999</v>
      </c>
      <c r="AJ20" s="50">
        <f t="shared" si="91"/>
        <v>11070.432357043237</v>
      </c>
      <c r="AK20" s="50">
        <f t="shared" si="92"/>
        <v>26569.037656903769</v>
      </c>
      <c r="AL20" s="348">
        <f t="shared" si="152"/>
        <v>2506980</v>
      </c>
      <c r="AM20" s="354">
        <f t="shared" si="93"/>
        <v>147.43312499999999</v>
      </c>
      <c r="AN20" s="348">
        <f t="shared" si="94"/>
        <v>7085.0767085076714</v>
      </c>
      <c r="AO20" s="348">
        <f t="shared" si="95"/>
        <v>17004.18410041841</v>
      </c>
      <c r="AP20" s="7"/>
      <c r="AQ20" s="349">
        <f t="shared" si="96"/>
        <v>2.4</v>
      </c>
      <c r="AR20" s="50">
        <f t="shared" si="158"/>
        <v>2506980</v>
      </c>
      <c r="AS20" s="51">
        <f t="shared" si="159"/>
        <v>147.43312499999999</v>
      </c>
      <c r="AT20" s="348">
        <f t="shared" si="160"/>
        <v>7085.0767085076714</v>
      </c>
      <c r="AU20" s="348">
        <f t="shared" si="161"/>
        <v>17004.18410041841</v>
      </c>
      <c r="AV20" s="350">
        <f t="shared" si="49"/>
        <v>2506980</v>
      </c>
      <c r="AW20" s="349">
        <f t="shared" si="162"/>
        <v>147.43312499999999</v>
      </c>
      <c r="AX20" s="348">
        <f t="shared" si="163"/>
        <v>7085.0767085076714</v>
      </c>
      <c r="AY20" s="348">
        <f t="shared" si="164"/>
        <v>17004.18410041841</v>
      </c>
      <c r="AZ20" s="7"/>
      <c r="BA20" s="24">
        <f t="shared" si="144"/>
        <v>15</v>
      </c>
      <c r="BB20" s="66">
        <f>IF(VLOOKUP($FW$29,SOURCE!$AH$5:$AJ$50,3,FALSE)="CFM56-5B",SOURCE!BB19,SOURCE!BG19)</f>
        <v>25000</v>
      </c>
      <c r="BC20" s="66">
        <f>IF(VLOOKUP($FW$29,SOURCE!$AH$5:$AJ$50,3,FALSE)="CFM56-5B",SOURCE!BC19,SOURCE!BH19)</f>
        <v>92260</v>
      </c>
      <c r="BD20" s="31">
        <f t="shared" si="97"/>
        <v>3.69</v>
      </c>
      <c r="BE20" s="13"/>
      <c r="BF20" s="13"/>
      <c r="BG20" s="66" t="str">
        <f t="shared" si="98"/>
        <v/>
      </c>
      <c r="BH20" s="66" t="str">
        <f t="shared" si="99"/>
        <v/>
      </c>
      <c r="BI20" s="66">
        <f t="shared" si="149"/>
        <v>12500</v>
      </c>
      <c r="BJ20" s="13"/>
      <c r="BK20" s="13"/>
      <c r="BL20" s="66">
        <f t="shared" si="100"/>
        <v>92260</v>
      </c>
      <c r="BM20" s="66">
        <f t="shared" si="101"/>
        <v>16605</v>
      </c>
      <c r="BN20" s="66">
        <f t="shared" si="102"/>
        <v>25000</v>
      </c>
      <c r="BO20" s="66" t="str">
        <f t="shared" si="103"/>
        <v/>
      </c>
      <c r="BP20" s="66" t="str">
        <f t="shared" si="53"/>
        <v/>
      </c>
      <c r="BQ20" s="66">
        <f t="shared" si="104"/>
        <v>17000</v>
      </c>
      <c r="BR20" s="66" t="str">
        <f t="shared" si="105"/>
        <v/>
      </c>
      <c r="BS20" s="66" t="str">
        <f t="shared" si="106"/>
        <v/>
      </c>
      <c r="BT20" s="66">
        <f t="shared" si="54"/>
        <v>9000</v>
      </c>
      <c r="BU20" s="66">
        <f t="shared" si="107"/>
        <v>92260</v>
      </c>
      <c r="BV20" s="66">
        <f t="shared" si="108"/>
        <v>3690.4</v>
      </c>
      <c r="BW20" s="66">
        <f t="shared" si="55"/>
        <v>25000</v>
      </c>
      <c r="BX20" s="66" t="str">
        <f t="shared" si="109"/>
        <v/>
      </c>
      <c r="BY20" s="66" t="str">
        <f t="shared" si="56"/>
        <v/>
      </c>
      <c r="BZ20" s="66">
        <f t="shared" si="57"/>
        <v>17000</v>
      </c>
      <c r="CA20" s="66" t="str">
        <f t="shared" si="110"/>
        <v/>
      </c>
      <c r="CB20" s="66" t="str">
        <f t="shared" si="58"/>
        <v/>
      </c>
      <c r="CC20" s="66">
        <f t="shared" si="59"/>
        <v>9000</v>
      </c>
      <c r="CD20" s="66">
        <f t="shared" si="145"/>
        <v>92260</v>
      </c>
      <c r="CE20" s="66">
        <f t="shared" si="60"/>
        <v>3690.4</v>
      </c>
      <c r="CF20" s="66">
        <f t="shared" si="61"/>
        <v>25000</v>
      </c>
      <c r="CG20" s="66" t="str">
        <f t="shared" si="111"/>
        <v/>
      </c>
      <c r="CH20" s="66" t="str">
        <f t="shared" si="62"/>
        <v/>
      </c>
      <c r="CI20" s="66">
        <f t="shared" si="63"/>
        <v>17000</v>
      </c>
      <c r="CJ20" s="66" t="str">
        <f t="shared" si="112"/>
        <v/>
      </c>
      <c r="CK20" s="66" t="str">
        <f t="shared" si="113"/>
        <v/>
      </c>
      <c r="CL20" s="66">
        <f t="shared" si="64"/>
        <v>9000</v>
      </c>
      <c r="CM20" s="66">
        <f t="shared" si="114"/>
        <v>92260</v>
      </c>
      <c r="CN20" s="66">
        <f t="shared" si="115"/>
        <v>3690.4</v>
      </c>
      <c r="CO20" s="66">
        <f t="shared" si="116"/>
        <v>25000</v>
      </c>
      <c r="CP20" s="66" t="str">
        <f t="shared" si="117"/>
        <v/>
      </c>
      <c r="CQ20" s="66" t="str">
        <f t="shared" si="118"/>
        <v/>
      </c>
      <c r="CR20" s="66">
        <f t="shared" si="119"/>
        <v>17000</v>
      </c>
      <c r="CS20" s="66" t="str">
        <f t="shared" si="120"/>
        <v/>
      </c>
      <c r="CT20" s="66" t="str">
        <f t="shared" si="121"/>
        <v/>
      </c>
      <c r="CU20" s="66">
        <f t="shared" si="122"/>
        <v>9000</v>
      </c>
      <c r="CV20" s="66">
        <f t="shared" si="123"/>
        <v>92260</v>
      </c>
      <c r="CW20" s="66">
        <f t="shared" si="124"/>
        <v>3690.4</v>
      </c>
      <c r="CX20" s="66">
        <f t="shared" si="125"/>
        <v>25000</v>
      </c>
      <c r="CY20" s="66" t="str">
        <f t="shared" si="126"/>
        <v/>
      </c>
      <c r="CZ20" s="66" t="str">
        <f t="shared" si="127"/>
        <v/>
      </c>
      <c r="DA20" s="66">
        <f t="shared" si="128"/>
        <v>17000</v>
      </c>
      <c r="DB20" s="9"/>
      <c r="DC20" s="13" t="str">
        <f t="shared" si="154"/>
        <v>Airframe</v>
      </c>
      <c r="DD20" s="13"/>
      <c r="DE20" s="13" t="str">
        <f t="shared" si="165"/>
        <v>12Y SI</v>
      </c>
      <c r="DF20" s="66">
        <f>VLOOKUP($FU$29&amp;DE20,SOURCE!$D$5:$O$38,10,FALSE)</f>
        <v>1037621.9999999999</v>
      </c>
      <c r="DG20" s="13"/>
      <c r="DH20" s="13"/>
      <c r="DI20" s="14">
        <f t="shared" si="155"/>
        <v>144</v>
      </c>
      <c r="DJ20" s="66">
        <f>IF(DF20="","",DF20/DI20)</f>
        <v>7205.7083333333321</v>
      </c>
      <c r="DK20" s="31">
        <f>DJ20/($M$7/12)</f>
        <v>24.705285714285708</v>
      </c>
      <c r="DL20" s="66"/>
      <c r="DM20" s="44">
        <f t="shared" si="129"/>
        <v>14</v>
      </c>
      <c r="DN20" s="41">
        <f t="shared" si="65"/>
        <v>12272520</v>
      </c>
      <c r="DO20" s="41">
        <f t="shared" si="130"/>
        <v>122596.73076923078</v>
      </c>
      <c r="DP20" s="42">
        <f t="shared" si="66"/>
        <v>0</v>
      </c>
      <c r="DQ20" s="42">
        <f t="shared" si="67"/>
        <v>0</v>
      </c>
      <c r="DR20" s="42">
        <f t="shared" si="68"/>
        <v>0</v>
      </c>
      <c r="DS20" s="42">
        <f t="shared" si="69"/>
        <v>0</v>
      </c>
      <c r="DT20" s="42">
        <f t="shared" si="70"/>
        <v>0</v>
      </c>
      <c r="DU20" s="42">
        <f t="shared" si="71"/>
        <v>0</v>
      </c>
      <c r="DV20" s="42">
        <f t="shared" si="72"/>
        <v>0</v>
      </c>
      <c r="DW20" s="42">
        <f t="shared" si="73"/>
        <v>0</v>
      </c>
      <c r="DX20" s="42">
        <f t="shared" si="74"/>
        <v>1716354.2307692301</v>
      </c>
      <c r="DY20" s="42">
        <f>IF(DM20="",DY19,DN20-SUM($DO$6:DO20)+SUM($DP$6:DV20)-SUM($DW$6:DW20))</f>
        <v>10556165.76923077</v>
      </c>
      <c r="DZ20" s="43">
        <f t="shared" si="131"/>
        <v>0.86014655256058004</v>
      </c>
      <c r="EA20" s="43"/>
      <c r="EB20" s="43" t="str">
        <f t="shared" si="146"/>
        <v>True</v>
      </c>
      <c r="EC20" s="41">
        <f t="shared" si="132"/>
        <v>185400</v>
      </c>
      <c r="ED20" s="41">
        <f t="shared" si="133"/>
        <v>606690</v>
      </c>
      <c r="EE20" s="41">
        <f t="shared" si="75"/>
        <v>902280</v>
      </c>
      <c r="EF20" s="41">
        <f t="shared" si="147"/>
        <v>10300</v>
      </c>
      <c r="EG20" s="42">
        <f t="shared" si="134"/>
        <v>8426.25</v>
      </c>
      <c r="EH20" s="42">
        <f t="shared" si="135"/>
        <v>6265.8333333333321</v>
      </c>
      <c r="EI20" s="42">
        <f t="shared" si="76"/>
        <v>144200</v>
      </c>
      <c r="EJ20" s="42">
        <f t="shared" si="136"/>
        <v>117968</v>
      </c>
      <c r="EK20" s="42">
        <f t="shared" si="77"/>
        <v>87722</v>
      </c>
      <c r="EL20" s="42">
        <f>IF(DM20="","",EC20-SUM($EF$6:EF20)+SUM($DP$6:DP20))</f>
        <v>41200</v>
      </c>
      <c r="EM20" s="42">
        <f>IF(DM20="","",ED20-SUM($EG$6:EG20)+SUM($DQ$6:DQ20))</f>
        <v>488722.5</v>
      </c>
      <c r="EN20" s="42">
        <f>IF(DM20="","",EE20-SUM($EH$6:EH20)+SUM($DR$6:DR20))</f>
        <v>814558.33333333337</v>
      </c>
      <c r="EO20" s="152">
        <f t="shared" si="148"/>
        <v>0.79349896028218958</v>
      </c>
      <c r="EP20" s="43"/>
      <c r="EQ20" s="42">
        <f t="shared" si="78"/>
        <v>448050</v>
      </c>
      <c r="ER20" s="42">
        <f t="shared" si="79"/>
        <v>248100</v>
      </c>
      <c r="ES20" s="42">
        <f t="shared" si="137"/>
        <v>3733.75</v>
      </c>
      <c r="ET20" s="42">
        <f t="shared" si="138"/>
        <v>6122.9807692307695</v>
      </c>
      <c r="EU20" s="42">
        <f t="shared" si="80"/>
        <v>52273</v>
      </c>
      <c r="EV20" s="42">
        <f t="shared" si="81"/>
        <v>85722</v>
      </c>
      <c r="EW20" s="42">
        <f>IF(DM20="","",IF(DS20&gt;0,DS20,EQ20-SUM($ES$6:ES20)+SUM($DS$6:DS20)))</f>
        <v>395777.5</v>
      </c>
      <c r="EX20" s="42">
        <f>IF(DM20="","",IF(DT20&gt;0,DT20,ER20-SUM($ET$6:ET20)+SUM($DT$6:DT20)))</f>
        <v>162378.26923076925</v>
      </c>
      <c r="EY20" s="43">
        <f t="shared" si="82"/>
        <v>0.6544871794871796</v>
      </c>
      <c r="EZ20" s="43">
        <f t="shared" si="83"/>
        <v>0.8833333333333333</v>
      </c>
      <c r="FA20" s="43"/>
      <c r="FB20" s="42">
        <f t="shared" si="84"/>
        <v>4700000</v>
      </c>
      <c r="FC20" s="42">
        <f t="shared" si="85"/>
        <v>5182000</v>
      </c>
      <c r="FD20" s="41">
        <f t="shared" si="139"/>
        <v>54833.333333333336</v>
      </c>
      <c r="FE20" s="41">
        <f t="shared" si="140"/>
        <v>32914.583333333336</v>
      </c>
      <c r="FF20" s="42">
        <f t="shared" si="86"/>
        <v>767667</v>
      </c>
      <c r="FG20" s="42">
        <f t="shared" si="87"/>
        <v>460804</v>
      </c>
      <c r="FH20" s="42">
        <f>IF(DM20="","",IF(DU20&gt;0,DU20,FB20-SUM($FD$6:FD20)+SUM($DU$6:DU20)))</f>
        <v>3932333.333333333</v>
      </c>
      <c r="FI20" s="42">
        <f>IF(DM20="","",FC20-SUM($FE$6:FE20)+SUM($DV$6:DV20)-SUM($DW$6:DW20))</f>
        <v>4721195.833333333</v>
      </c>
      <c r="FJ20" s="152">
        <f t="shared" si="88"/>
        <v>0.87568601160358894</v>
      </c>
      <c r="FL20" s="25"/>
      <c r="FM20" s="23"/>
      <c r="FN20" s="8"/>
      <c r="FO20" s="8"/>
      <c r="FP20" s="8"/>
      <c r="FQ20" s="8"/>
      <c r="FR20" s="27">
        <v>2.4</v>
      </c>
      <c r="FS20" s="21">
        <v>0.14000000000000001</v>
      </c>
      <c r="FT20" s="21"/>
      <c r="FU20" s="21"/>
      <c r="FV20" s="8"/>
      <c r="FW20" s="8"/>
      <c r="GC20" s="68">
        <f t="shared" si="26"/>
        <v>15</v>
      </c>
      <c r="GD20" s="78">
        <f t="shared" si="27"/>
        <v>0</v>
      </c>
      <c r="GE20" s="309">
        <f t="shared" si="28"/>
        <v>0.85015702060062137</v>
      </c>
      <c r="GF20" s="78">
        <f t="shared" si="29"/>
        <v>0</v>
      </c>
      <c r="GG20" s="310">
        <f t="shared" si="30"/>
        <v>0.7787488860166315</v>
      </c>
      <c r="GH20" s="78">
        <f t="shared" si="31"/>
        <v>0</v>
      </c>
      <c r="GI20" s="310">
        <f t="shared" si="32"/>
        <v>0.875</v>
      </c>
      <c r="GJ20" s="311">
        <f t="shared" si="33"/>
        <v>0</v>
      </c>
      <c r="GK20" s="310">
        <f t="shared" si="34"/>
        <v>0.6298076923076924</v>
      </c>
      <c r="GL20" s="311">
        <f t="shared" si="35"/>
        <v>0</v>
      </c>
      <c r="GM20" s="310">
        <f t="shared" si="36"/>
        <v>0.86680644100384541</v>
      </c>
      <c r="GO20" s="266" t="s">
        <v>66</v>
      </c>
      <c r="GP20" s="266" t="s">
        <v>275</v>
      </c>
      <c r="GQ20" s="14">
        <f>IF(GS20="","",COUNT($GS$4:GS20))</f>
        <v>15</v>
      </c>
      <c r="GR20" s="24" t="str">
        <f t="shared" si="166"/>
        <v>SV</v>
      </c>
      <c r="GS20" s="14">
        <f>IF(ROUND(DI11,0)&gt;=$FW$23,"",$DI$11)</f>
        <v>41</v>
      </c>
      <c r="GU20" s="66">
        <f t="shared" ref="GU20:GU29" si="167">IF(GS20="","",$DF$11)</f>
        <v>248100</v>
      </c>
      <c r="GV20" s="264"/>
      <c r="GW20" s="264"/>
      <c r="GX20" s="13"/>
      <c r="GY20" s="14"/>
      <c r="GZ20" s="13"/>
      <c r="HA20" s="14">
        <f>IF(HC20="","",_xlfn.RANK.EQ(HC20,$HC$4:$HC$44,1)+COUNTIF($HC$4:$HC$44,HC20)-COUNTIF($HC$4:HC20,HC20))</f>
        <v>12</v>
      </c>
      <c r="HB20" s="24">
        <f t="shared" si="39"/>
        <v>17</v>
      </c>
      <c r="HC20" s="14">
        <f t="shared" si="0"/>
        <v>123</v>
      </c>
      <c r="HD20" s="24" t="str">
        <f t="shared" si="40"/>
        <v>APU</v>
      </c>
      <c r="HE20" s="13" t="str">
        <f t="shared" si="1"/>
        <v>SV</v>
      </c>
      <c r="HF20" s="13" t="str">
        <f t="shared" si="153"/>
        <v>17    APU  SV</v>
      </c>
      <c r="HG20" s="13"/>
      <c r="HH20" s="24" t="str">
        <f t="shared" si="3"/>
        <v/>
      </c>
      <c r="HI20" s="66">
        <f t="shared" si="4"/>
        <v>248100</v>
      </c>
      <c r="HJ20" s="82" t="str">
        <f t="shared" si="5"/>
        <v/>
      </c>
      <c r="HK20" s="66" t="str">
        <f t="shared" si="6"/>
        <v/>
      </c>
      <c r="HL20" s="66" t="str">
        <f t="shared" si="7"/>
        <v/>
      </c>
      <c r="HM20" s="66" t="str">
        <f t="shared" si="8"/>
        <v/>
      </c>
      <c r="HN20" s="24">
        <f t="shared" si="141"/>
        <v>17</v>
      </c>
      <c r="HO20" s="14">
        <f t="shared" si="9"/>
        <v>144</v>
      </c>
      <c r="HP20" s="24" t="str">
        <f t="shared" si="10"/>
        <v>Airframe</v>
      </c>
      <c r="HQ20" s="24" t="str">
        <f t="shared" si="11"/>
        <v>8C-Check</v>
      </c>
      <c r="HR20" s="13" t="str">
        <f t="shared" si="151"/>
        <v>17       Airframe  8C-Check</v>
      </c>
      <c r="HT20" s="13" t="str">
        <f t="shared" si="12"/>
        <v/>
      </c>
      <c r="HU20" s="75">
        <f t="shared" si="13"/>
        <v>264480</v>
      </c>
      <c r="HV20" s="75" t="str">
        <f t="shared" si="42"/>
        <v/>
      </c>
      <c r="HW20" s="75" t="str">
        <f t="shared" si="14"/>
        <v/>
      </c>
      <c r="HX20" s="75" t="str">
        <f t="shared" si="15"/>
        <v/>
      </c>
      <c r="HY20" s="66" t="str">
        <f t="shared" si="16"/>
        <v/>
      </c>
      <c r="HZ20" s="151" t="str">
        <f t="shared" si="17"/>
        <v>APU</v>
      </c>
      <c r="IA20" s="151" t="str">
        <f t="shared" si="18"/>
        <v>17    APU  SV</v>
      </c>
      <c r="IB20" s="151"/>
      <c r="IC20" s="149">
        <f t="shared" si="19"/>
        <v>123</v>
      </c>
      <c r="ID20" s="151" t="str">
        <f t="shared" si="20"/>
        <v/>
      </c>
      <c r="IE20" s="33">
        <f t="shared" si="21"/>
        <v>248100</v>
      </c>
      <c r="IF20" s="33" t="str">
        <f t="shared" si="22"/>
        <v/>
      </c>
      <c r="IG20" s="33" t="str">
        <f t="shared" si="23"/>
        <v/>
      </c>
      <c r="IH20" s="33" t="str">
        <f t="shared" si="24"/>
        <v/>
      </c>
      <c r="II20" s="33" t="str">
        <f t="shared" si="25"/>
        <v/>
      </c>
      <c r="IM20" s="13"/>
      <c r="IN20" s="13"/>
      <c r="IO20" s="13"/>
      <c r="IP20" s="13"/>
      <c r="IQ20" s="13"/>
    </row>
    <row r="21" spans="1:251" ht="12" x14ac:dyDescent="0.2">
      <c r="B21" s="556"/>
      <c r="C21" s="26"/>
      <c r="D21" s="26"/>
      <c r="E21" s="26"/>
      <c r="F21" s="26"/>
      <c r="G21" s="26"/>
      <c r="H21" s="26"/>
      <c r="I21" s="26"/>
      <c r="J21" s="26"/>
      <c r="K21" s="26"/>
      <c r="L21" s="26"/>
      <c r="M21" s="26"/>
      <c r="N21" s="26"/>
      <c r="O21" s="26"/>
      <c r="P21" s="26"/>
      <c r="Q21" s="26"/>
      <c r="R21" s="26"/>
      <c r="S21" s="26"/>
      <c r="T21" s="26"/>
      <c r="U21" s="26"/>
      <c r="V21" s="26"/>
      <c r="W21" s="307"/>
      <c r="X21" s="307"/>
      <c r="Y21" s="229"/>
      <c r="AC21" s="136">
        <v>2.5</v>
      </c>
      <c r="AD21" s="137">
        <f>IF($FY$7="True",SOURCE!BL10,SOURCE!BP10)</f>
        <v>0.94499999999999995</v>
      </c>
      <c r="AE21" s="137">
        <f>IF($FY$7="True",SOURCE!BM10,SOURCE!BQ10)</f>
        <v>1.02</v>
      </c>
      <c r="AF21" s="137">
        <f>IF($FY$7="True",SOURCE!BN10,SOURCE!BR10)</f>
        <v>0.94499999999999995</v>
      </c>
      <c r="AG21" s="137">
        <f>IF($FY$7="True",SOURCE!BO10,SOURCE!BS10)</f>
        <v>1.02</v>
      </c>
      <c r="AH21" s="138">
        <f t="shared" si="156"/>
        <v>2397000</v>
      </c>
      <c r="AI21" s="136">
        <f t="shared" si="157"/>
        <v>88.83</v>
      </c>
      <c r="AJ21" s="138">
        <f t="shared" si="91"/>
        <v>10793.650793650795</v>
      </c>
      <c r="AK21" s="138">
        <f t="shared" si="92"/>
        <v>26984.126984126986</v>
      </c>
      <c r="AL21" s="138">
        <f t="shared" si="152"/>
        <v>2516850</v>
      </c>
      <c r="AM21" s="355">
        <f t="shared" si="93"/>
        <v>145.73671874999999</v>
      </c>
      <c r="AN21" s="138">
        <f t="shared" si="94"/>
        <v>6907.9365079365089</v>
      </c>
      <c r="AO21" s="138">
        <f t="shared" si="95"/>
        <v>17269.841269841272</v>
      </c>
      <c r="AP21" s="151"/>
      <c r="AQ21" s="136">
        <f t="shared" si="96"/>
        <v>2.5</v>
      </c>
      <c r="AR21" s="138">
        <f t="shared" si="158"/>
        <v>2516850</v>
      </c>
      <c r="AS21" s="136">
        <f t="shared" si="159"/>
        <v>145.73671874999999</v>
      </c>
      <c r="AT21" s="138">
        <f t="shared" si="160"/>
        <v>6907.9365079365089</v>
      </c>
      <c r="AU21" s="138">
        <f t="shared" si="161"/>
        <v>17269.841269841272</v>
      </c>
      <c r="AV21" s="33">
        <f t="shared" si="49"/>
        <v>2516850</v>
      </c>
      <c r="AW21" s="136">
        <f t="shared" si="162"/>
        <v>145.73671874999999</v>
      </c>
      <c r="AX21" s="138">
        <f t="shared" si="163"/>
        <v>6907.9365079365089</v>
      </c>
      <c r="AY21" s="138">
        <f t="shared" si="164"/>
        <v>17269.841269841272</v>
      </c>
      <c r="AZ21" s="7"/>
      <c r="BA21" s="24">
        <f t="shared" si="144"/>
        <v>16</v>
      </c>
      <c r="BB21" s="66">
        <f>IF(VLOOKUP($FW$29,SOURCE!$AH$5:$AJ$50,3,FALSE)="CFM56-5B",SOURCE!BB20,SOURCE!BG20)</f>
        <v>25000</v>
      </c>
      <c r="BC21" s="66">
        <f>IF(VLOOKUP($FW$29,SOURCE!$AH$5:$AJ$50,3,FALSE)="CFM56-5B",SOURCE!BC20,SOURCE!BH20)</f>
        <v>106900</v>
      </c>
      <c r="BD21" s="31">
        <f t="shared" si="97"/>
        <v>4.28</v>
      </c>
      <c r="BE21" s="13"/>
      <c r="BF21" s="13"/>
      <c r="BG21" s="66" t="str">
        <f t="shared" si="98"/>
        <v/>
      </c>
      <c r="BH21" s="66" t="str">
        <f t="shared" si="99"/>
        <v/>
      </c>
      <c r="BI21" s="66">
        <f t="shared" si="149"/>
        <v>12500</v>
      </c>
      <c r="BJ21" s="13"/>
      <c r="BK21" s="13"/>
      <c r="BL21" s="66">
        <f t="shared" si="100"/>
        <v>106900</v>
      </c>
      <c r="BM21" s="66">
        <f t="shared" si="101"/>
        <v>19260</v>
      </c>
      <c r="BN21" s="66">
        <f t="shared" si="102"/>
        <v>25000</v>
      </c>
      <c r="BO21" s="66" t="str">
        <f t="shared" si="103"/>
        <v/>
      </c>
      <c r="BP21" s="66" t="str">
        <f t="shared" si="53"/>
        <v/>
      </c>
      <c r="BQ21" s="66">
        <f t="shared" si="104"/>
        <v>17000</v>
      </c>
      <c r="BR21" s="66" t="str">
        <f t="shared" si="105"/>
        <v/>
      </c>
      <c r="BS21" s="66" t="str">
        <f t="shared" si="106"/>
        <v/>
      </c>
      <c r="BT21" s="66">
        <f t="shared" si="54"/>
        <v>9000</v>
      </c>
      <c r="BU21" s="66">
        <f t="shared" si="107"/>
        <v>106900</v>
      </c>
      <c r="BV21" s="66">
        <f t="shared" si="108"/>
        <v>4276</v>
      </c>
      <c r="BW21" s="66">
        <f t="shared" si="55"/>
        <v>25000</v>
      </c>
      <c r="BX21" s="66" t="str">
        <f t="shared" si="109"/>
        <v/>
      </c>
      <c r="BY21" s="66" t="str">
        <f t="shared" si="56"/>
        <v/>
      </c>
      <c r="BZ21" s="66">
        <f t="shared" si="57"/>
        <v>17000</v>
      </c>
      <c r="CA21" s="66" t="str">
        <f t="shared" si="110"/>
        <v/>
      </c>
      <c r="CB21" s="66" t="str">
        <f t="shared" si="58"/>
        <v/>
      </c>
      <c r="CC21" s="66">
        <f t="shared" si="59"/>
        <v>9000</v>
      </c>
      <c r="CD21" s="66">
        <f t="shared" si="145"/>
        <v>106900</v>
      </c>
      <c r="CE21" s="66">
        <f t="shared" si="60"/>
        <v>4276</v>
      </c>
      <c r="CF21" s="66">
        <f t="shared" si="61"/>
        <v>25000</v>
      </c>
      <c r="CG21" s="66" t="str">
        <f t="shared" si="111"/>
        <v/>
      </c>
      <c r="CH21" s="66" t="str">
        <f t="shared" si="62"/>
        <v/>
      </c>
      <c r="CI21" s="66">
        <f t="shared" si="63"/>
        <v>17000</v>
      </c>
      <c r="CJ21" s="66" t="str">
        <f t="shared" si="112"/>
        <v/>
      </c>
      <c r="CK21" s="66" t="str">
        <f t="shared" si="113"/>
        <v/>
      </c>
      <c r="CL21" s="66">
        <f t="shared" si="64"/>
        <v>9000</v>
      </c>
      <c r="CM21" s="66">
        <f t="shared" si="114"/>
        <v>106900</v>
      </c>
      <c r="CN21" s="66">
        <f t="shared" si="115"/>
        <v>4276</v>
      </c>
      <c r="CO21" s="66">
        <f t="shared" si="116"/>
        <v>25000</v>
      </c>
      <c r="CP21" s="66" t="str">
        <f t="shared" si="117"/>
        <v/>
      </c>
      <c r="CQ21" s="66" t="str">
        <f t="shared" si="118"/>
        <v/>
      </c>
      <c r="CR21" s="66">
        <f t="shared" si="119"/>
        <v>17000</v>
      </c>
      <c r="CS21" s="66" t="str">
        <f t="shared" si="120"/>
        <v/>
      </c>
      <c r="CT21" s="66" t="str">
        <f t="shared" si="121"/>
        <v/>
      </c>
      <c r="CU21" s="66">
        <f t="shared" si="122"/>
        <v>9000</v>
      </c>
      <c r="CV21" s="66">
        <f t="shared" si="123"/>
        <v>106900</v>
      </c>
      <c r="CW21" s="66">
        <f t="shared" si="124"/>
        <v>4276</v>
      </c>
      <c r="CX21" s="66">
        <f t="shared" si="125"/>
        <v>25000</v>
      </c>
      <c r="CY21" s="66" t="str">
        <f t="shared" si="126"/>
        <v/>
      </c>
      <c r="CZ21" s="66" t="str">
        <f t="shared" si="127"/>
        <v/>
      </c>
      <c r="DA21" s="66">
        <f t="shared" si="128"/>
        <v>17000</v>
      </c>
      <c r="DB21" s="9"/>
      <c r="DC21" s="13" t="str">
        <f t="shared" si="154"/>
        <v>Landing Gear</v>
      </c>
      <c r="DD21" s="13"/>
      <c r="DE21" s="13" t="str">
        <f t="shared" si="165"/>
        <v>Gear Ovhl</v>
      </c>
      <c r="DF21" s="66">
        <f>DF10</f>
        <v>448050</v>
      </c>
      <c r="DG21" s="13"/>
      <c r="DH21" s="66">
        <v>20000</v>
      </c>
      <c r="DI21" s="14">
        <f t="shared" si="155"/>
        <v>120</v>
      </c>
      <c r="DJ21" s="66">
        <f>IF(DF21="","",DF21/DI21)</f>
        <v>3733.75</v>
      </c>
      <c r="DK21" s="31">
        <f>DJ21/($M$7/12)</f>
        <v>12.80142857142857</v>
      </c>
      <c r="DL21" s="66"/>
      <c r="DM21" s="44">
        <f t="shared" si="129"/>
        <v>15</v>
      </c>
      <c r="DN21" s="41">
        <f t="shared" si="65"/>
        <v>12272520</v>
      </c>
      <c r="DO21" s="41">
        <f t="shared" si="130"/>
        <v>122596.73076923078</v>
      </c>
      <c r="DP21" s="42">
        <f t="shared" si="66"/>
        <v>0</v>
      </c>
      <c r="DQ21" s="42">
        <f t="shared" si="67"/>
        <v>0</v>
      </c>
      <c r="DR21" s="42">
        <f t="shared" si="68"/>
        <v>0</v>
      </c>
      <c r="DS21" s="42">
        <f t="shared" si="69"/>
        <v>0</v>
      </c>
      <c r="DT21" s="42">
        <f t="shared" si="70"/>
        <v>0</v>
      </c>
      <c r="DU21" s="42">
        <f t="shared" si="71"/>
        <v>0</v>
      </c>
      <c r="DV21" s="42">
        <f t="shared" si="72"/>
        <v>0</v>
      </c>
      <c r="DW21" s="42">
        <f t="shared" si="73"/>
        <v>0</v>
      </c>
      <c r="DX21" s="42">
        <f t="shared" si="74"/>
        <v>1838950.961538462</v>
      </c>
      <c r="DY21" s="42">
        <f>IF(DM21="",DY20,DN21-SUM($DO$6:DO21)+SUM($DP$6:DV21)-SUM($DW$6:DW21))</f>
        <v>10433569.038461538</v>
      </c>
      <c r="DZ21" s="43">
        <f t="shared" si="131"/>
        <v>0.85015702060062137</v>
      </c>
      <c r="EA21" s="43"/>
      <c r="EB21" s="43" t="str">
        <f t="shared" si="146"/>
        <v>True</v>
      </c>
      <c r="EC21" s="41">
        <f t="shared" si="132"/>
        <v>185400</v>
      </c>
      <c r="ED21" s="41">
        <f t="shared" si="133"/>
        <v>606690</v>
      </c>
      <c r="EE21" s="41">
        <f t="shared" si="75"/>
        <v>902280</v>
      </c>
      <c r="EF21" s="41">
        <f t="shared" si="147"/>
        <v>10300</v>
      </c>
      <c r="EG21" s="42">
        <f t="shared" si="134"/>
        <v>8426.25</v>
      </c>
      <c r="EH21" s="42">
        <f t="shared" si="135"/>
        <v>6265.8333333333321</v>
      </c>
      <c r="EI21" s="42">
        <f t="shared" si="76"/>
        <v>154500</v>
      </c>
      <c r="EJ21" s="42">
        <f t="shared" si="136"/>
        <v>126394</v>
      </c>
      <c r="EK21" s="42">
        <f t="shared" si="77"/>
        <v>93988</v>
      </c>
      <c r="EL21" s="42">
        <f>IF(DM21="","",EC21-SUM($EF$6:EF21)+SUM($DP$6:DP21))</f>
        <v>30900</v>
      </c>
      <c r="EM21" s="42">
        <f>IF(DM21="","",ED21-SUM($EG$6:EG21)+SUM($DQ$6:DQ21))</f>
        <v>480296.25</v>
      </c>
      <c r="EN21" s="42">
        <f>IF(DM21="","",EE21-SUM($EH$6:EH21)+SUM($DR$6:DR21))</f>
        <v>808292.5</v>
      </c>
      <c r="EO21" s="152">
        <f t="shared" si="148"/>
        <v>0.7787488860166315</v>
      </c>
      <c r="EP21" s="43"/>
      <c r="EQ21" s="42">
        <f t="shared" si="78"/>
        <v>448050</v>
      </c>
      <c r="ER21" s="42">
        <f t="shared" si="79"/>
        <v>248100</v>
      </c>
      <c r="ES21" s="42">
        <f t="shared" si="137"/>
        <v>3733.75</v>
      </c>
      <c r="ET21" s="42">
        <f t="shared" si="138"/>
        <v>6122.9807692307695</v>
      </c>
      <c r="EU21" s="42">
        <f t="shared" si="80"/>
        <v>56006</v>
      </c>
      <c r="EV21" s="42">
        <f t="shared" si="81"/>
        <v>91845</v>
      </c>
      <c r="EW21" s="42">
        <f>IF(DM21="","",IF(DS21&gt;0,DS21,EQ21-SUM($ES$6:ES21)+SUM($DS$6:DS21)))</f>
        <v>392043.75</v>
      </c>
      <c r="EX21" s="42">
        <f>IF(DM21="","",IF(DT21&gt;0,DT21,ER21-SUM($ET$6:ET21)+SUM($DT$6:DT21)))</f>
        <v>156255.2884615385</v>
      </c>
      <c r="EY21" s="43">
        <f t="shared" si="82"/>
        <v>0.6298076923076924</v>
      </c>
      <c r="EZ21" s="43">
        <f t="shared" si="83"/>
        <v>0.875</v>
      </c>
      <c r="FA21" s="43"/>
      <c r="FB21" s="42">
        <f t="shared" si="84"/>
        <v>4700000</v>
      </c>
      <c r="FC21" s="42">
        <f t="shared" si="85"/>
        <v>5182000</v>
      </c>
      <c r="FD21" s="41">
        <f t="shared" si="139"/>
        <v>54833.333333333336</v>
      </c>
      <c r="FE21" s="41">
        <f t="shared" si="140"/>
        <v>32914.583333333336</v>
      </c>
      <c r="FF21" s="42">
        <f t="shared" si="86"/>
        <v>822500</v>
      </c>
      <c r="FG21" s="42">
        <f t="shared" si="87"/>
        <v>493719</v>
      </c>
      <c r="FH21" s="42">
        <f>IF(DM21="","",IF(DU21&gt;0,DU21,FB21-SUM($FD$6:FD21)+SUM($DU$6:DU21)))</f>
        <v>3877500</v>
      </c>
      <c r="FI21" s="42">
        <f>IF(DM21="","",FC21-SUM($FE$6:FE21)+SUM($DV$6:DV21)-SUM($DW$6:DW21))</f>
        <v>4688281.25</v>
      </c>
      <c r="FJ21" s="152">
        <f t="shared" si="88"/>
        <v>0.86680644100384541</v>
      </c>
      <c r="FL21" s="25"/>
      <c r="FM21" s="23"/>
      <c r="FN21" s="8"/>
      <c r="FO21" s="8"/>
      <c r="FP21" s="8"/>
      <c r="FQ21" s="8"/>
      <c r="FR21" s="27">
        <v>2.5</v>
      </c>
      <c r="FS21" s="21">
        <v>0.15</v>
      </c>
      <c r="FT21" s="21"/>
      <c r="FU21" s="460" t="s">
        <v>484</v>
      </c>
      <c r="FV21" s="461"/>
      <c r="FW21" s="462"/>
      <c r="FX21" s="462"/>
      <c r="FY21" s="462"/>
      <c r="GC21" s="68">
        <f t="shared" si="26"/>
        <v>16</v>
      </c>
      <c r="GD21" s="78">
        <f t="shared" si="27"/>
        <v>0</v>
      </c>
      <c r="GE21" s="309">
        <f t="shared" si="28"/>
        <v>0.84016748864066293</v>
      </c>
      <c r="GF21" s="78">
        <f t="shared" si="29"/>
        <v>0</v>
      </c>
      <c r="GG21" s="310">
        <f t="shared" si="30"/>
        <v>0.76399881175107365</v>
      </c>
      <c r="GH21" s="78">
        <f t="shared" si="31"/>
        <v>0</v>
      </c>
      <c r="GI21" s="310">
        <f t="shared" si="32"/>
        <v>0.8666666666666667</v>
      </c>
      <c r="GJ21" s="311">
        <f t="shared" si="33"/>
        <v>0</v>
      </c>
      <c r="GK21" s="310">
        <f t="shared" si="34"/>
        <v>0.6051282051282052</v>
      </c>
      <c r="GL21" s="311">
        <f t="shared" si="35"/>
        <v>0</v>
      </c>
      <c r="GM21" s="310">
        <f t="shared" si="36"/>
        <v>0.85792687040410176</v>
      </c>
      <c r="GO21" s="266" t="s">
        <v>66</v>
      </c>
      <c r="GP21" s="266" t="s">
        <v>275</v>
      </c>
      <c r="GQ21" s="14">
        <f>IF(GS21="","",COUNT($GS$4:GS21))</f>
        <v>16</v>
      </c>
      <c r="GR21" s="24" t="str">
        <f t="shared" si="166"/>
        <v>SV</v>
      </c>
      <c r="GS21" s="14">
        <f t="shared" ref="GS21:GS29" si="168">IF(GS20="","",IF(ROUND($DI$11,0)+GS20&gt;=$FW$23,"",GS20+$DI$11))</f>
        <v>82</v>
      </c>
      <c r="GU21" s="66">
        <f t="shared" si="167"/>
        <v>248100</v>
      </c>
      <c r="GV21" s="264"/>
      <c r="GW21" s="264"/>
      <c r="GX21" s="13"/>
      <c r="GY21" s="14"/>
      <c r="GZ21" s="13"/>
      <c r="HA21" s="14">
        <f>IF(HC21="","",_xlfn.RANK.EQ(HC21,$HC$4:$HC$44,1)+COUNTIF($HC$4:$HC$44,HC21)-COUNTIF($HC$4:HC21,HC21))</f>
        <v>19</v>
      </c>
      <c r="HB21" s="24">
        <f t="shared" si="39"/>
        <v>18</v>
      </c>
      <c r="HC21" s="14">
        <f t="shared" si="0"/>
        <v>164</v>
      </c>
      <c r="HD21" s="24" t="str">
        <f t="shared" si="40"/>
        <v>APU</v>
      </c>
      <c r="HE21" s="13" t="str">
        <f t="shared" si="1"/>
        <v>SV</v>
      </c>
      <c r="HF21" s="13" t="str">
        <f t="shared" si="153"/>
        <v>18    APU  SV</v>
      </c>
      <c r="HG21" s="13"/>
      <c r="HH21" s="24" t="str">
        <f t="shared" si="3"/>
        <v/>
      </c>
      <c r="HI21" s="66">
        <f t="shared" si="4"/>
        <v>248100</v>
      </c>
      <c r="HJ21" s="82" t="str">
        <f t="shared" si="5"/>
        <v/>
      </c>
      <c r="HK21" s="66" t="str">
        <f t="shared" si="6"/>
        <v/>
      </c>
      <c r="HL21" s="66" t="str">
        <f t="shared" si="7"/>
        <v/>
      </c>
      <c r="HM21" s="66" t="str">
        <f t="shared" si="8"/>
        <v/>
      </c>
      <c r="HN21" s="24">
        <f t="shared" si="141"/>
        <v>18</v>
      </c>
      <c r="HO21" s="14">
        <f t="shared" si="9"/>
        <v>162</v>
      </c>
      <c r="HP21" s="24" t="str">
        <f t="shared" si="10"/>
        <v>Airframe</v>
      </c>
      <c r="HQ21" s="24" t="str">
        <f t="shared" si="11"/>
        <v>9C-Check</v>
      </c>
      <c r="HR21" s="13" t="str">
        <f t="shared" si="151"/>
        <v>18       Airframe  9C-Check</v>
      </c>
      <c r="HT21" s="13" t="str">
        <f t="shared" si="12"/>
        <v/>
      </c>
      <c r="HU21" s="75">
        <f t="shared" si="13"/>
        <v>222480</v>
      </c>
      <c r="HV21" s="75" t="str">
        <f t="shared" si="42"/>
        <v/>
      </c>
      <c r="HW21" s="75" t="str">
        <f t="shared" si="14"/>
        <v/>
      </c>
      <c r="HX21" s="75" t="str">
        <f t="shared" si="15"/>
        <v/>
      </c>
      <c r="HY21" s="66" t="str">
        <f t="shared" si="16"/>
        <v/>
      </c>
      <c r="HZ21" s="151" t="str">
        <f t="shared" si="17"/>
        <v>APU</v>
      </c>
      <c r="IA21" s="151" t="str">
        <f t="shared" si="18"/>
        <v>18    APU  SV</v>
      </c>
      <c r="IB21" s="151"/>
      <c r="IC21" s="149">
        <f t="shared" si="19"/>
        <v>164</v>
      </c>
      <c r="ID21" s="151" t="str">
        <f t="shared" si="20"/>
        <v/>
      </c>
      <c r="IE21" s="33">
        <f t="shared" si="21"/>
        <v>248100</v>
      </c>
      <c r="IF21" s="33" t="str">
        <f t="shared" si="22"/>
        <v/>
      </c>
      <c r="IG21" s="33" t="str">
        <f t="shared" si="23"/>
        <v/>
      </c>
      <c r="IH21" s="33" t="str">
        <f t="shared" si="24"/>
        <v/>
      </c>
      <c r="II21" s="33" t="str">
        <f t="shared" si="25"/>
        <v/>
      </c>
      <c r="IM21" s="13"/>
      <c r="IN21" s="13"/>
      <c r="IO21" s="13"/>
      <c r="IP21" s="13"/>
      <c r="IQ21" s="13"/>
    </row>
    <row r="22" spans="1:251" ht="12" x14ac:dyDescent="0.2">
      <c r="B22" s="556"/>
      <c r="C22" s="26"/>
      <c r="D22" s="26"/>
      <c r="E22" s="26"/>
      <c r="F22" s="26"/>
      <c r="G22" s="26"/>
      <c r="H22" s="26"/>
      <c r="I22" s="26"/>
      <c r="J22" s="26"/>
      <c r="K22" s="26"/>
      <c r="L22" s="26"/>
      <c r="M22" s="26"/>
      <c r="N22" s="26"/>
      <c r="O22" s="26"/>
      <c r="P22" s="26"/>
      <c r="Q22" s="26"/>
      <c r="R22" s="26"/>
      <c r="S22" s="26"/>
      <c r="T22" s="26"/>
      <c r="U22" s="26"/>
      <c r="V22" s="26"/>
      <c r="W22" s="307"/>
      <c r="X22" s="307"/>
      <c r="Y22" s="229"/>
      <c r="Z22" s="36"/>
      <c r="AA22" s="36"/>
      <c r="AC22" s="20">
        <v>2.6</v>
      </c>
      <c r="AD22" s="18">
        <f>AD21-($AD$21-$AD$26)/5</f>
        <v>0.93659999999999999</v>
      </c>
      <c r="AE22" s="18">
        <f>AE21-($AE$21-$AE$26)/5</f>
        <v>1.026</v>
      </c>
      <c r="AF22" s="18">
        <f>AF21-($AF$21-$AF$26)/5</f>
        <v>0.93659999999999999</v>
      </c>
      <c r="AG22" s="18">
        <f>AG21-($AG$21-$AG$26)/5</f>
        <v>1.0229999999999999</v>
      </c>
      <c r="AH22" s="50">
        <f t="shared" si="156"/>
        <v>2411100</v>
      </c>
      <c r="AI22" s="51">
        <f t="shared" si="157"/>
        <v>88.040400000000005</v>
      </c>
      <c r="AJ22" s="50">
        <f t="shared" si="91"/>
        <v>10533.188784309859</v>
      </c>
      <c r="AK22" s="50">
        <f t="shared" si="92"/>
        <v>27386.290839205634</v>
      </c>
      <c r="AL22" s="348">
        <f t="shared" si="152"/>
        <v>2524252.5</v>
      </c>
      <c r="AM22" s="354">
        <f t="shared" si="93"/>
        <v>144.44128125</v>
      </c>
      <c r="AN22" s="348">
        <f t="shared" si="94"/>
        <v>6721.5295914847475</v>
      </c>
      <c r="AO22" s="348">
        <f t="shared" si="95"/>
        <v>17475.976937860345</v>
      </c>
      <c r="AP22" s="7"/>
      <c r="AQ22" s="349">
        <f t="shared" si="96"/>
        <v>2.6</v>
      </c>
      <c r="AR22" s="50">
        <f t="shared" si="158"/>
        <v>2524252.5</v>
      </c>
      <c r="AS22" s="51">
        <f t="shared" si="159"/>
        <v>144.44128125</v>
      </c>
      <c r="AT22" s="348">
        <f t="shared" si="160"/>
        <v>6721.5295914847475</v>
      </c>
      <c r="AU22" s="348">
        <f t="shared" si="161"/>
        <v>17475.976937860345</v>
      </c>
      <c r="AV22" s="350">
        <f t="shared" si="49"/>
        <v>2524252.5</v>
      </c>
      <c r="AW22" s="349">
        <f t="shared" si="162"/>
        <v>144.44128125</v>
      </c>
      <c r="AX22" s="348">
        <f t="shared" si="163"/>
        <v>6721.5295914847475</v>
      </c>
      <c r="AY22" s="348">
        <f t="shared" si="164"/>
        <v>17475.976937860345</v>
      </c>
      <c r="AZ22" s="7"/>
      <c r="BA22" s="24">
        <f t="shared" si="144"/>
        <v>17</v>
      </c>
      <c r="BB22" s="66">
        <f>IF(VLOOKUP($FW$29,SOURCE!$AH$5:$AJ$50,3,FALSE)="CFM56-5B",SOURCE!BB21,SOURCE!BG21)</f>
        <v>25000</v>
      </c>
      <c r="BC22" s="66">
        <f>IF(VLOOKUP($FW$29,SOURCE!$AH$5:$AJ$50,3,FALSE)="CFM56-5B",SOURCE!BC21,SOURCE!BH21)</f>
        <v>105100</v>
      </c>
      <c r="BD22" s="31">
        <f t="shared" si="97"/>
        <v>4.2</v>
      </c>
      <c r="BE22" s="13"/>
      <c r="BF22" s="13"/>
      <c r="BG22" s="66" t="str">
        <f t="shared" si="98"/>
        <v/>
      </c>
      <c r="BH22" s="66" t="str">
        <f t="shared" si="99"/>
        <v/>
      </c>
      <c r="BI22" s="66">
        <f t="shared" si="149"/>
        <v>12500</v>
      </c>
      <c r="BJ22" s="13"/>
      <c r="BK22" s="13"/>
      <c r="BL22" s="66">
        <f t="shared" si="100"/>
        <v>105100</v>
      </c>
      <c r="BM22" s="66">
        <f t="shared" si="101"/>
        <v>18900</v>
      </c>
      <c r="BN22" s="66">
        <f t="shared" si="102"/>
        <v>25000</v>
      </c>
      <c r="BO22" s="66" t="str">
        <f t="shared" si="103"/>
        <v/>
      </c>
      <c r="BP22" s="66" t="str">
        <f t="shared" si="53"/>
        <v/>
      </c>
      <c r="BQ22" s="66">
        <f t="shared" si="104"/>
        <v>17000</v>
      </c>
      <c r="BR22" s="66" t="str">
        <f t="shared" si="105"/>
        <v/>
      </c>
      <c r="BS22" s="66" t="str">
        <f t="shared" si="106"/>
        <v/>
      </c>
      <c r="BT22" s="66">
        <f t="shared" si="54"/>
        <v>9000</v>
      </c>
      <c r="BU22" s="66">
        <f t="shared" si="107"/>
        <v>105100</v>
      </c>
      <c r="BV22" s="66">
        <f t="shared" si="108"/>
        <v>4204</v>
      </c>
      <c r="BW22" s="66">
        <f t="shared" si="55"/>
        <v>25000</v>
      </c>
      <c r="BX22" s="66" t="str">
        <f t="shared" si="109"/>
        <v/>
      </c>
      <c r="BY22" s="66" t="str">
        <f t="shared" si="56"/>
        <v/>
      </c>
      <c r="BZ22" s="66">
        <f t="shared" si="57"/>
        <v>17000</v>
      </c>
      <c r="CA22" s="66" t="str">
        <f t="shared" si="110"/>
        <v/>
      </c>
      <c r="CB22" s="66" t="str">
        <f t="shared" si="58"/>
        <v/>
      </c>
      <c r="CC22" s="66">
        <f t="shared" si="59"/>
        <v>9000</v>
      </c>
      <c r="CD22" s="66">
        <f t="shared" si="145"/>
        <v>105100</v>
      </c>
      <c r="CE22" s="66">
        <f t="shared" si="60"/>
        <v>4204</v>
      </c>
      <c r="CF22" s="66">
        <f t="shared" si="61"/>
        <v>25000</v>
      </c>
      <c r="CG22" s="66" t="str">
        <f t="shared" si="111"/>
        <v/>
      </c>
      <c r="CH22" s="66" t="str">
        <f t="shared" si="62"/>
        <v/>
      </c>
      <c r="CI22" s="66">
        <f t="shared" si="63"/>
        <v>17000</v>
      </c>
      <c r="CJ22" s="66" t="str">
        <f t="shared" si="112"/>
        <v/>
      </c>
      <c r="CK22" s="66" t="str">
        <f t="shared" si="113"/>
        <v/>
      </c>
      <c r="CL22" s="66">
        <f t="shared" si="64"/>
        <v>9000</v>
      </c>
      <c r="CM22" s="66">
        <f t="shared" si="114"/>
        <v>105100</v>
      </c>
      <c r="CN22" s="66">
        <f t="shared" si="115"/>
        <v>4204</v>
      </c>
      <c r="CO22" s="66">
        <f t="shared" si="116"/>
        <v>25000</v>
      </c>
      <c r="CP22" s="66" t="str">
        <f t="shared" si="117"/>
        <v/>
      </c>
      <c r="CQ22" s="66" t="str">
        <f t="shared" si="118"/>
        <v/>
      </c>
      <c r="CR22" s="66">
        <f t="shared" si="119"/>
        <v>17000</v>
      </c>
      <c r="CS22" s="66" t="str">
        <f t="shared" si="120"/>
        <v/>
      </c>
      <c r="CT22" s="66" t="str">
        <f t="shared" si="121"/>
        <v/>
      </c>
      <c r="CU22" s="66">
        <f t="shared" si="122"/>
        <v>9000</v>
      </c>
      <c r="CV22" s="66">
        <f t="shared" si="123"/>
        <v>105100</v>
      </c>
      <c r="CW22" s="66">
        <f t="shared" si="124"/>
        <v>4204</v>
      </c>
      <c r="CX22" s="66">
        <f t="shared" si="125"/>
        <v>25000</v>
      </c>
      <c r="CY22" s="66" t="str">
        <f t="shared" si="126"/>
        <v/>
      </c>
      <c r="CZ22" s="66" t="str">
        <f t="shared" si="127"/>
        <v/>
      </c>
      <c r="DA22" s="66">
        <f t="shared" si="128"/>
        <v>17000</v>
      </c>
      <c r="DB22" s="9"/>
      <c r="DC22" s="13" t="str">
        <f t="shared" si="154"/>
        <v>APU</v>
      </c>
      <c r="DD22" s="13"/>
      <c r="DE22" s="13" t="str">
        <f t="shared" si="165"/>
        <v>APU Rest</v>
      </c>
      <c r="DF22" s="66">
        <f>DF11</f>
        <v>248100</v>
      </c>
      <c r="DG22" s="66">
        <f>DG11</f>
        <v>11818.181818181818</v>
      </c>
      <c r="DH22" s="13"/>
      <c r="DI22" s="14">
        <f t="shared" si="155"/>
        <v>41</v>
      </c>
      <c r="DJ22" s="13"/>
      <c r="DK22" s="31">
        <f>DF22/DG22</f>
        <v>20.993076923076924</v>
      </c>
      <c r="DL22" s="66"/>
      <c r="DM22" s="44">
        <f t="shared" si="129"/>
        <v>16</v>
      </c>
      <c r="DN22" s="41">
        <f t="shared" si="65"/>
        <v>12272520</v>
      </c>
      <c r="DO22" s="41">
        <f t="shared" si="130"/>
        <v>122596.73076923078</v>
      </c>
      <c r="DP22" s="42">
        <f t="shared" si="66"/>
        <v>0</v>
      </c>
      <c r="DQ22" s="42">
        <f t="shared" si="67"/>
        <v>0</v>
      </c>
      <c r="DR22" s="42">
        <f t="shared" si="68"/>
        <v>0</v>
      </c>
      <c r="DS22" s="42">
        <f t="shared" si="69"/>
        <v>0</v>
      </c>
      <c r="DT22" s="42">
        <f t="shared" si="70"/>
        <v>0</v>
      </c>
      <c r="DU22" s="42">
        <f t="shared" si="71"/>
        <v>0</v>
      </c>
      <c r="DV22" s="42">
        <f t="shared" si="72"/>
        <v>0</v>
      </c>
      <c r="DW22" s="42">
        <f t="shared" si="73"/>
        <v>0</v>
      </c>
      <c r="DX22" s="42">
        <f t="shared" si="74"/>
        <v>1961547.692307692</v>
      </c>
      <c r="DY22" s="42">
        <f>IF(DM22="",DY21,DN22-SUM($DO$6:DO22)+SUM($DP$6:DV22)-SUM($DW$6:DW22))</f>
        <v>10310972.307692308</v>
      </c>
      <c r="DZ22" s="43">
        <f t="shared" si="131"/>
        <v>0.84016748864066293</v>
      </c>
      <c r="EA22" s="43"/>
      <c r="EB22" s="43" t="str">
        <f t="shared" si="146"/>
        <v>True</v>
      </c>
      <c r="EC22" s="41">
        <f t="shared" si="132"/>
        <v>185400</v>
      </c>
      <c r="ED22" s="41">
        <f t="shared" si="133"/>
        <v>606690</v>
      </c>
      <c r="EE22" s="41">
        <f t="shared" si="75"/>
        <v>902280</v>
      </c>
      <c r="EF22" s="41">
        <f t="shared" si="147"/>
        <v>10300</v>
      </c>
      <c r="EG22" s="42">
        <f t="shared" si="134"/>
        <v>8426.25</v>
      </c>
      <c r="EH22" s="42">
        <f t="shared" si="135"/>
        <v>6265.8333333333321</v>
      </c>
      <c r="EI22" s="42">
        <f t="shared" si="76"/>
        <v>164800</v>
      </c>
      <c r="EJ22" s="42">
        <f t="shared" si="136"/>
        <v>134820</v>
      </c>
      <c r="EK22" s="42">
        <f t="shared" si="77"/>
        <v>100253</v>
      </c>
      <c r="EL22" s="42">
        <f>IF(DM22="","",EC22-SUM($EF$6:EF22)+SUM($DP$6:DP22))</f>
        <v>20600</v>
      </c>
      <c r="EM22" s="42">
        <f>IF(DM22="","",ED22-SUM($EG$6:EG22)+SUM($DQ$6:DQ22))</f>
        <v>471870</v>
      </c>
      <c r="EN22" s="42">
        <f>IF(DM22="","",EE22-SUM($EH$6:EH22)+SUM($DR$6:DR22))</f>
        <v>802026.66666666674</v>
      </c>
      <c r="EO22" s="152">
        <f t="shared" si="148"/>
        <v>0.76399881175107365</v>
      </c>
      <c r="EP22" s="43"/>
      <c r="EQ22" s="42">
        <f t="shared" si="78"/>
        <v>448050</v>
      </c>
      <c r="ER22" s="42">
        <f t="shared" si="79"/>
        <v>248100</v>
      </c>
      <c r="ES22" s="42">
        <f t="shared" si="137"/>
        <v>3733.75</v>
      </c>
      <c r="ET22" s="42">
        <f t="shared" si="138"/>
        <v>6122.9807692307695</v>
      </c>
      <c r="EU22" s="42">
        <f t="shared" si="80"/>
        <v>59740</v>
      </c>
      <c r="EV22" s="42">
        <f t="shared" si="81"/>
        <v>97968</v>
      </c>
      <c r="EW22" s="42">
        <f>IF(DM22="","",IF(DS22&gt;0,DS22,EQ22-SUM($ES$6:ES22)+SUM($DS$6:DS22)))</f>
        <v>388310</v>
      </c>
      <c r="EX22" s="42">
        <f>IF(DM22="","",IF(DT22&gt;0,DT22,ER22-SUM($ET$6:ET22)+SUM($DT$6:DT22)))</f>
        <v>150132.30769230772</v>
      </c>
      <c r="EY22" s="43">
        <f t="shared" si="82"/>
        <v>0.6051282051282052</v>
      </c>
      <c r="EZ22" s="43">
        <f t="shared" si="83"/>
        <v>0.8666666666666667</v>
      </c>
      <c r="FA22" s="43"/>
      <c r="FB22" s="42">
        <f t="shared" si="84"/>
        <v>4700000</v>
      </c>
      <c r="FC22" s="42">
        <f t="shared" si="85"/>
        <v>5182000</v>
      </c>
      <c r="FD22" s="41">
        <f t="shared" si="139"/>
        <v>54833.333333333336</v>
      </c>
      <c r="FE22" s="41">
        <f t="shared" si="140"/>
        <v>32914.583333333336</v>
      </c>
      <c r="FF22" s="42">
        <f t="shared" si="86"/>
        <v>877333</v>
      </c>
      <c r="FG22" s="42">
        <f t="shared" si="87"/>
        <v>526633</v>
      </c>
      <c r="FH22" s="42">
        <f>IF(DM22="","",IF(DU22&gt;0,DU22,FB22-SUM($FD$6:FD22)+SUM($DU$6:DU22)))</f>
        <v>3822666.6666666665</v>
      </c>
      <c r="FI22" s="42">
        <f>IF(DM22="","",FC22-SUM($FE$6:FE22)+SUM($DV$6:DV22)-SUM($DW$6:DW22))</f>
        <v>4655366.666666667</v>
      </c>
      <c r="FJ22" s="152">
        <f t="shared" si="88"/>
        <v>0.85792687040410176</v>
      </c>
      <c r="FL22" s="25"/>
      <c r="FM22" s="23"/>
      <c r="FN22" s="8"/>
      <c r="FO22" s="8"/>
      <c r="FP22" s="29"/>
      <c r="FQ22" s="29"/>
      <c r="FR22" s="27">
        <v>2.6</v>
      </c>
      <c r="FS22" s="21">
        <v>0.16</v>
      </c>
      <c r="FT22" s="21"/>
      <c r="FV22" s="463"/>
      <c r="FW22" s="463" t="s">
        <v>352</v>
      </c>
      <c r="FX22" s="462"/>
      <c r="FY22" s="463" t="s">
        <v>353</v>
      </c>
      <c r="GC22" s="68">
        <f t="shared" si="26"/>
        <v>17</v>
      </c>
      <c r="GD22" s="78">
        <f t="shared" si="27"/>
        <v>0</v>
      </c>
      <c r="GE22" s="309">
        <f t="shared" si="28"/>
        <v>0.83017795668070427</v>
      </c>
      <c r="GF22" s="78">
        <f t="shared" si="29"/>
        <v>0</v>
      </c>
      <c r="GG22" s="310">
        <f t="shared" si="30"/>
        <v>0.7492487374855159</v>
      </c>
      <c r="GH22" s="78">
        <f t="shared" si="31"/>
        <v>0</v>
      </c>
      <c r="GI22" s="310">
        <f t="shared" si="32"/>
        <v>0.85833333333333328</v>
      </c>
      <c r="GJ22" s="311">
        <f t="shared" si="33"/>
        <v>0</v>
      </c>
      <c r="GK22" s="310">
        <f t="shared" si="34"/>
        <v>0.580448717948718</v>
      </c>
      <c r="GL22" s="311">
        <f t="shared" si="35"/>
        <v>0</v>
      </c>
      <c r="GM22" s="310">
        <f t="shared" si="36"/>
        <v>0.849047299804358</v>
      </c>
      <c r="GO22" s="266" t="s">
        <v>66</v>
      </c>
      <c r="GP22" s="266" t="s">
        <v>275</v>
      </c>
      <c r="GQ22" s="14">
        <f>IF(GS22="","",COUNT($GS$4:GS22))</f>
        <v>17</v>
      </c>
      <c r="GR22" s="24" t="str">
        <f t="shared" si="166"/>
        <v>SV</v>
      </c>
      <c r="GS22" s="14">
        <f t="shared" si="168"/>
        <v>123</v>
      </c>
      <c r="GU22" s="66">
        <f t="shared" si="167"/>
        <v>248100</v>
      </c>
      <c r="GV22" s="264"/>
      <c r="GW22" s="264"/>
      <c r="GX22" s="13"/>
      <c r="GY22" s="14"/>
      <c r="GZ22" s="13"/>
      <c r="HA22" s="14">
        <f>IF(HC22="","",_xlfn.RANK.EQ(HC22,$HC$4:$HC$44,1)+COUNTIF($HC$4:$HC$44,HC22)-COUNTIF($HC$4:HC22,HC22))</f>
        <v>8</v>
      </c>
      <c r="HB22" s="24">
        <f t="shared" si="39"/>
        <v>19</v>
      </c>
      <c r="HC22" s="14">
        <f t="shared" si="0"/>
        <v>85</v>
      </c>
      <c r="HD22" s="24" t="str">
        <f t="shared" si="40"/>
        <v>Engine</v>
      </c>
      <c r="HE22" s="13" t="str">
        <f t="shared" si="1"/>
        <v>SV (2 Each)</v>
      </c>
      <c r="HF22" s="13" t="str">
        <f t="shared" si="153"/>
        <v>19    Engine  SV (2 Each)</v>
      </c>
      <c r="HG22" s="13"/>
      <c r="HH22" s="24" t="str">
        <f t="shared" si="3"/>
        <v>PR</v>
      </c>
      <c r="HI22" s="66">
        <f t="shared" si="4"/>
        <v>4700000</v>
      </c>
      <c r="HJ22" s="82">
        <f t="shared" si="5"/>
        <v>2607000</v>
      </c>
      <c r="HK22" s="66">
        <f t="shared" si="6"/>
        <v>977850</v>
      </c>
      <c r="HL22" s="66">
        <f t="shared" si="7"/>
        <v>25000</v>
      </c>
      <c r="HM22" s="66">
        <f t="shared" si="8"/>
        <v>12500</v>
      </c>
      <c r="HN22" s="24">
        <f>IF(HO22="","",HN21+1)</f>
        <v>19</v>
      </c>
      <c r="HO22" s="14">
        <f t="shared" si="9"/>
        <v>164</v>
      </c>
      <c r="HP22" s="24" t="str">
        <f t="shared" si="10"/>
        <v>APU</v>
      </c>
      <c r="HQ22" s="24" t="str">
        <f t="shared" si="11"/>
        <v>SV</v>
      </c>
      <c r="HR22" s="13" t="str">
        <f>IF(HN22="","",HN22&amp;"       "&amp;HP22&amp;"  "&amp;HQ22)</f>
        <v>19       APU  SV</v>
      </c>
      <c r="HT22" s="13" t="str">
        <f t="shared" si="12"/>
        <v/>
      </c>
      <c r="HU22" s="75">
        <f t="shared" si="13"/>
        <v>248100</v>
      </c>
      <c r="HV22" s="75" t="str">
        <f t="shared" si="42"/>
        <v/>
      </c>
      <c r="HW22" s="75" t="str">
        <f t="shared" si="14"/>
        <v/>
      </c>
      <c r="HX22" s="75" t="str">
        <f t="shared" si="15"/>
        <v/>
      </c>
      <c r="HY22" s="66" t="str">
        <f t="shared" si="16"/>
        <v/>
      </c>
      <c r="HZ22" s="151" t="str">
        <f t="shared" si="17"/>
        <v>Engine</v>
      </c>
      <c r="IA22" s="151" t="str">
        <f t="shared" si="18"/>
        <v>19    Engine  SV (2 Each)</v>
      </c>
      <c r="IB22" s="151"/>
      <c r="IC22" s="149">
        <f t="shared" si="19"/>
        <v>85</v>
      </c>
      <c r="ID22" s="151" t="str">
        <f t="shared" si="20"/>
        <v>PR</v>
      </c>
      <c r="IE22" s="33">
        <f t="shared" si="21"/>
        <v>4700000</v>
      </c>
      <c r="IF22" s="33">
        <f t="shared" si="22"/>
        <v>2607000</v>
      </c>
      <c r="IG22" s="33">
        <f t="shared" si="23"/>
        <v>977850</v>
      </c>
      <c r="IH22" s="33">
        <f t="shared" si="24"/>
        <v>25000</v>
      </c>
      <c r="II22" s="33">
        <f t="shared" si="25"/>
        <v>12500</v>
      </c>
      <c r="IM22" s="13"/>
      <c r="IN22" s="13"/>
      <c r="IO22" s="13"/>
      <c r="IP22" s="13"/>
      <c r="IQ22" s="13"/>
    </row>
    <row r="23" spans="1:251" ht="12" customHeight="1" x14ac:dyDescent="0.2">
      <c r="A23" s="36"/>
      <c r="B23" s="556"/>
      <c r="C23" s="26"/>
      <c r="D23" s="26"/>
      <c r="E23" s="26"/>
      <c r="F23" s="26"/>
      <c r="G23" s="26"/>
      <c r="H23" s="26"/>
      <c r="I23" s="26"/>
      <c r="J23" s="26"/>
      <c r="K23" s="26"/>
      <c r="L23" s="26"/>
      <c r="M23" s="26"/>
      <c r="N23" s="26"/>
      <c r="O23" s="26"/>
      <c r="P23" s="26"/>
      <c r="Q23" s="26"/>
      <c r="R23" s="26"/>
      <c r="S23" s="26"/>
      <c r="T23" s="26"/>
      <c r="U23" s="26"/>
      <c r="V23" s="26"/>
      <c r="W23" s="307"/>
      <c r="X23" s="307"/>
      <c r="Y23" s="229"/>
      <c r="Z23" s="36"/>
      <c r="AA23" s="36"/>
      <c r="AC23" s="20">
        <v>2.7</v>
      </c>
      <c r="AD23" s="18">
        <f>AD22-($AD$21-$AD$26)/5</f>
        <v>0.92820000000000003</v>
      </c>
      <c r="AE23" s="18">
        <f>AE22-($AE$21-$AE$26)/5</f>
        <v>1.032</v>
      </c>
      <c r="AF23" s="18">
        <f>AF22-($AF$21-$AF$26)/5</f>
        <v>0.92820000000000003</v>
      </c>
      <c r="AG23" s="18">
        <f>AG22-($AG$21-$AG$26)/5</f>
        <v>1.0259999999999998</v>
      </c>
      <c r="AH23" s="50">
        <f t="shared" si="156"/>
        <v>2425200</v>
      </c>
      <c r="AI23" s="51">
        <f t="shared" si="157"/>
        <v>87.250799999999998</v>
      </c>
      <c r="AJ23" s="50">
        <f t="shared" si="91"/>
        <v>10294.716177069118</v>
      </c>
      <c r="AK23" s="50">
        <f t="shared" si="92"/>
        <v>27795.733678086621</v>
      </c>
      <c r="AL23" s="348">
        <f t="shared" si="152"/>
        <v>2531654.9999999995</v>
      </c>
      <c r="AM23" s="354">
        <f t="shared" si="93"/>
        <v>143.14584375000001</v>
      </c>
      <c r="AN23" s="348">
        <f t="shared" si="94"/>
        <v>6550.3124326653724</v>
      </c>
      <c r="AO23" s="348">
        <f t="shared" si="95"/>
        <v>17685.843568196506</v>
      </c>
      <c r="AP23" s="7"/>
      <c r="AQ23" s="349">
        <f t="shared" si="96"/>
        <v>2.7</v>
      </c>
      <c r="AR23" s="50">
        <f t="shared" si="158"/>
        <v>2531654.9999999995</v>
      </c>
      <c r="AS23" s="51">
        <f t="shared" si="159"/>
        <v>143.14584375000001</v>
      </c>
      <c r="AT23" s="348">
        <f t="shared" si="160"/>
        <v>6550.3124326653724</v>
      </c>
      <c r="AU23" s="348">
        <f t="shared" si="161"/>
        <v>17685.843568196506</v>
      </c>
      <c r="AV23" s="350">
        <f t="shared" si="49"/>
        <v>2531654.9999999995</v>
      </c>
      <c r="AW23" s="349">
        <f t="shared" si="162"/>
        <v>143.14584375000001</v>
      </c>
      <c r="AX23" s="348">
        <f t="shared" si="163"/>
        <v>6550.3124326653724</v>
      </c>
      <c r="AY23" s="348">
        <f t="shared" si="164"/>
        <v>17685.843568196506</v>
      </c>
      <c r="AZ23" s="50"/>
      <c r="BA23" s="24">
        <f t="shared" si="144"/>
        <v>18</v>
      </c>
      <c r="BB23" s="66">
        <f>IF(VLOOKUP($FW$29,SOURCE!$AH$5:$AJ$50,3,FALSE)="CFM56-5B",SOURCE!BB22,SOURCE!BG22)</f>
        <v>25000</v>
      </c>
      <c r="BC23" s="66">
        <f>IF(VLOOKUP($FW$29,SOURCE!$AH$5:$AJ$50,3,FALSE)="CFM56-5B",SOURCE!BC22,SOURCE!BH22)</f>
        <v>93430</v>
      </c>
      <c r="BD23" s="31">
        <f t="shared" si="97"/>
        <v>3.74</v>
      </c>
      <c r="BE23" s="13"/>
      <c r="BF23" s="13"/>
      <c r="BG23" s="66" t="str">
        <f t="shared" si="98"/>
        <v/>
      </c>
      <c r="BH23" s="66" t="str">
        <f t="shared" si="99"/>
        <v/>
      </c>
      <c r="BI23" s="66">
        <f t="shared" si="149"/>
        <v>12500</v>
      </c>
      <c r="BJ23" s="13"/>
      <c r="BK23" s="13"/>
      <c r="BL23" s="66">
        <f t="shared" si="100"/>
        <v>93430</v>
      </c>
      <c r="BM23" s="66">
        <f t="shared" si="101"/>
        <v>16830</v>
      </c>
      <c r="BN23" s="66">
        <f t="shared" si="102"/>
        <v>25000</v>
      </c>
      <c r="BO23" s="66" t="str">
        <f t="shared" si="103"/>
        <v/>
      </c>
      <c r="BP23" s="66" t="str">
        <f t="shared" si="53"/>
        <v/>
      </c>
      <c r="BQ23" s="66">
        <f t="shared" si="104"/>
        <v>17000</v>
      </c>
      <c r="BR23" s="66" t="str">
        <f t="shared" si="105"/>
        <v/>
      </c>
      <c r="BS23" s="66" t="str">
        <f t="shared" si="106"/>
        <v/>
      </c>
      <c r="BT23" s="66">
        <f t="shared" si="54"/>
        <v>9000</v>
      </c>
      <c r="BU23" s="66">
        <f t="shared" si="107"/>
        <v>93430</v>
      </c>
      <c r="BV23" s="66">
        <f t="shared" si="108"/>
        <v>3737.2000000000003</v>
      </c>
      <c r="BW23" s="66">
        <f t="shared" si="55"/>
        <v>25000</v>
      </c>
      <c r="BX23" s="66" t="str">
        <f t="shared" si="109"/>
        <v/>
      </c>
      <c r="BY23" s="66" t="str">
        <f t="shared" si="56"/>
        <v/>
      </c>
      <c r="BZ23" s="66">
        <f t="shared" si="57"/>
        <v>17000</v>
      </c>
      <c r="CA23" s="66" t="str">
        <f t="shared" si="110"/>
        <v/>
      </c>
      <c r="CB23" s="66" t="str">
        <f t="shared" si="58"/>
        <v/>
      </c>
      <c r="CC23" s="66">
        <f t="shared" si="59"/>
        <v>9000</v>
      </c>
      <c r="CD23" s="66">
        <f t="shared" si="145"/>
        <v>93430</v>
      </c>
      <c r="CE23" s="66">
        <f t="shared" si="60"/>
        <v>3737.2000000000003</v>
      </c>
      <c r="CF23" s="66">
        <f t="shared" si="61"/>
        <v>25000</v>
      </c>
      <c r="CG23" s="66" t="str">
        <f t="shared" si="111"/>
        <v/>
      </c>
      <c r="CH23" s="66" t="str">
        <f t="shared" si="62"/>
        <v/>
      </c>
      <c r="CI23" s="66">
        <f t="shared" si="63"/>
        <v>17000</v>
      </c>
      <c r="CJ23" s="66" t="str">
        <f t="shared" si="112"/>
        <v/>
      </c>
      <c r="CK23" s="66" t="str">
        <f t="shared" si="113"/>
        <v/>
      </c>
      <c r="CL23" s="66">
        <f t="shared" si="64"/>
        <v>9000</v>
      </c>
      <c r="CM23" s="66">
        <f t="shared" si="114"/>
        <v>93430</v>
      </c>
      <c r="CN23" s="66">
        <f t="shared" si="115"/>
        <v>3737.2000000000003</v>
      </c>
      <c r="CO23" s="66">
        <f t="shared" si="116"/>
        <v>25000</v>
      </c>
      <c r="CP23" s="66" t="str">
        <f t="shared" si="117"/>
        <v/>
      </c>
      <c r="CQ23" s="66" t="str">
        <f t="shared" si="118"/>
        <v/>
      </c>
      <c r="CR23" s="66">
        <f t="shared" si="119"/>
        <v>17000</v>
      </c>
      <c r="CS23" s="66" t="str">
        <f t="shared" si="120"/>
        <v/>
      </c>
      <c r="CT23" s="66" t="str">
        <f t="shared" si="121"/>
        <v/>
      </c>
      <c r="CU23" s="66">
        <f t="shared" si="122"/>
        <v>9000</v>
      </c>
      <c r="CV23" s="66">
        <f t="shared" si="123"/>
        <v>93430</v>
      </c>
      <c r="CW23" s="66">
        <f t="shared" si="124"/>
        <v>3737.2000000000003</v>
      </c>
      <c r="CX23" s="66">
        <f t="shared" si="125"/>
        <v>25000</v>
      </c>
      <c r="CY23" s="66" t="str">
        <f t="shared" si="126"/>
        <v/>
      </c>
      <c r="CZ23" s="66" t="str">
        <f t="shared" si="127"/>
        <v/>
      </c>
      <c r="DA23" s="66">
        <f t="shared" si="128"/>
        <v>17000</v>
      </c>
      <c r="DB23" s="9"/>
      <c r="DC23" s="13" t="str">
        <f t="shared" si="154"/>
        <v>Eng Modules</v>
      </c>
      <c r="DD23" s="13"/>
      <c r="DE23" s="13" t="str">
        <f t="shared" si="165"/>
        <v>Eng Rest</v>
      </c>
      <c r="DF23" s="66">
        <f>VLOOKUP($GA$6,$AC$6:$AO$46,10,FALSE)</f>
        <v>2467500</v>
      </c>
      <c r="DG23" s="66">
        <f>BK6</f>
        <v>16000</v>
      </c>
      <c r="DH23" s="66">
        <f>BJ6</f>
        <v>8000</v>
      </c>
      <c r="DI23" s="13"/>
      <c r="DJ23" s="13"/>
      <c r="DK23" s="31">
        <f>(DF23/DG23)*2</f>
        <v>308.4375</v>
      </c>
      <c r="DL23" s="66"/>
      <c r="DM23" s="44">
        <f t="shared" si="129"/>
        <v>17</v>
      </c>
      <c r="DN23" s="41">
        <f t="shared" si="65"/>
        <v>12272520</v>
      </c>
      <c r="DO23" s="41">
        <f t="shared" si="130"/>
        <v>122596.73076923078</v>
      </c>
      <c r="DP23" s="42">
        <f t="shared" si="66"/>
        <v>0</v>
      </c>
      <c r="DQ23" s="42">
        <f t="shared" si="67"/>
        <v>0</v>
      </c>
      <c r="DR23" s="42">
        <f t="shared" si="68"/>
        <v>0</v>
      </c>
      <c r="DS23" s="42">
        <f t="shared" si="69"/>
        <v>0</v>
      </c>
      <c r="DT23" s="42">
        <f t="shared" si="70"/>
        <v>0</v>
      </c>
      <c r="DU23" s="42">
        <f t="shared" si="71"/>
        <v>0</v>
      </c>
      <c r="DV23" s="42">
        <f t="shared" si="72"/>
        <v>0</v>
      </c>
      <c r="DW23" s="42">
        <f t="shared" si="73"/>
        <v>0</v>
      </c>
      <c r="DX23" s="42">
        <f t="shared" si="74"/>
        <v>2084144.4230769239</v>
      </c>
      <c r="DY23" s="42">
        <f>IF(DM23="",DY22,DN23-SUM($DO$6:DO23)+SUM($DP$6:DV23)-SUM($DW$6:DW23))</f>
        <v>10188375.576923076</v>
      </c>
      <c r="DZ23" s="43">
        <f t="shared" si="131"/>
        <v>0.83017795668070427</v>
      </c>
      <c r="EA23" s="43"/>
      <c r="EB23" s="43" t="str">
        <f t="shared" si="146"/>
        <v>True</v>
      </c>
      <c r="EC23" s="41">
        <f t="shared" si="132"/>
        <v>185400</v>
      </c>
      <c r="ED23" s="41">
        <f t="shared" si="133"/>
        <v>606690</v>
      </c>
      <c r="EE23" s="41">
        <f t="shared" si="75"/>
        <v>902280</v>
      </c>
      <c r="EF23" s="41">
        <f t="shared" si="147"/>
        <v>10300</v>
      </c>
      <c r="EG23" s="42">
        <f t="shared" si="134"/>
        <v>8426.25</v>
      </c>
      <c r="EH23" s="42">
        <f t="shared" si="135"/>
        <v>6265.8333333333321</v>
      </c>
      <c r="EI23" s="42">
        <f t="shared" si="76"/>
        <v>175100</v>
      </c>
      <c r="EJ23" s="42">
        <f t="shared" si="136"/>
        <v>143246</v>
      </c>
      <c r="EK23" s="42">
        <f t="shared" si="77"/>
        <v>106519</v>
      </c>
      <c r="EL23" s="42">
        <f>IF(DM23="","",EC23-SUM($EF$6:EF23)+SUM($DP$6:DP23))</f>
        <v>10300</v>
      </c>
      <c r="EM23" s="42">
        <f>IF(DM23="","",ED23-SUM($EG$6:EG23)+SUM($DQ$6:DQ23))</f>
        <v>463443.75</v>
      </c>
      <c r="EN23" s="42">
        <f>IF(DM23="","",EE23-SUM($EH$6:EH23)+SUM($DR$6:DR23))</f>
        <v>795760.83333333337</v>
      </c>
      <c r="EO23" s="152">
        <f t="shared" si="148"/>
        <v>0.7492487374855159</v>
      </c>
      <c r="EP23" s="43"/>
      <c r="EQ23" s="42">
        <f t="shared" si="78"/>
        <v>448050</v>
      </c>
      <c r="ER23" s="42">
        <f t="shared" si="79"/>
        <v>248100</v>
      </c>
      <c r="ES23" s="42">
        <f t="shared" si="137"/>
        <v>3733.75</v>
      </c>
      <c r="ET23" s="42">
        <f t="shared" si="138"/>
        <v>6122.9807692307695</v>
      </c>
      <c r="EU23" s="42">
        <f t="shared" si="80"/>
        <v>63474</v>
      </c>
      <c r="EV23" s="42">
        <f t="shared" si="81"/>
        <v>104091</v>
      </c>
      <c r="EW23" s="42">
        <f>IF(DM23="","",IF(DS23&gt;0,DS23,EQ23-SUM($ES$6:ES23)+SUM($DS$6:DS23)))</f>
        <v>384576.25</v>
      </c>
      <c r="EX23" s="42">
        <f>IF(DM23="","",IF(DT23&gt;0,DT23,ER23-SUM($ET$6:ET23)+SUM($DT$6:DT23)))</f>
        <v>144009.32692307694</v>
      </c>
      <c r="EY23" s="43">
        <f t="shared" si="82"/>
        <v>0.580448717948718</v>
      </c>
      <c r="EZ23" s="43">
        <f t="shared" si="83"/>
        <v>0.85833333333333328</v>
      </c>
      <c r="FA23" s="43"/>
      <c r="FB23" s="42">
        <f t="shared" si="84"/>
        <v>4700000</v>
      </c>
      <c r="FC23" s="42">
        <f t="shared" si="85"/>
        <v>5182000</v>
      </c>
      <c r="FD23" s="41">
        <f t="shared" si="139"/>
        <v>54833.333333333336</v>
      </c>
      <c r="FE23" s="41">
        <f t="shared" si="140"/>
        <v>32914.583333333336</v>
      </c>
      <c r="FF23" s="42">
        <f t="shared" si="86"/>
        <v>932167</v>
      </c>
      <c r="FG23" s="42">
        <f t="shared" si="87"/>
        <v>559548</v>
      </c>
      <c r="FH23" s="42">
        <f>IF(DM23="","",IF(DU23&gt;0,DU23,FB23-SUM($FD$6:FD23)+SUM($DU$6:DU23)))</f>
        <v>3767833.333333333</v>
      </c>
      <c r="FI23" s="42">
        <f>IF(DM23="","",FC23-SUM($FE$6:FE23)+SUM($DV$6:DV23)-SUM($DW$6:DW23))</f>
        <v>4622452.083333333</v>
      </c>
      <c r="FJ23" s="152">
        <f t="shared" si="88"/>
        <v>0.849047299804358</v>
      </c>
      <c r="FL23" s="25"/>
      <c r="FM23" s="23"/>
      <c r="FN23" s="8"/>
      <c r="FO23" s="8"/>
      <c r="FP23" s="8"/>
      <c r="FQ23" s="8"/>
      <c r="FR23" s="27">
        <v>2.7</v>
      </c>
      <c r="FS23" s="21">
        <v>0.17</v>
      </c>
      <c r="FT23" s="21"/>
      <c r="FV23" s="463"/>
      <c r="FW23" s="464">
        <v>180</v>
      </c>
      <c r="FX23" s="462"/>
      <c r="FY23" s="465"/>
      <c r="GC23" s="68">
        <f t="shared" si="26"/>
        <v>18</v>
      </c>
      <c r="GD23" s="78">
        <f t="shared" si="27"/>
        <v>185400</v>
      </c>
      <c r="GE23" s="309">
        <f t="shared" si="28"/>
        <v>0.83529534652653614</v>
      </c>
      <c r="GF23" s="78">
        <f t="shared" si="29"/>
        <v>185400</v>
      </c>
      <c r="GG23" s="310">
        <f t="shared" si="30"/>
        <v>0.84391986402025532</v>
      </c>
      <c r="GH23" s="78">
        <f t="shared" si="31"/>
        <v>0</v>
      </c>
      <c r="GI23" s="310">
        <f t="shared" si="32"/>
        <v>0.85</v>
      </c>
      <c r="GJ23" s="311">
        <f t="shared" si="33"/>
        <v>0</v>
      </c>
      <c r="GK23" s="310">
        <f t="shared" si="34"/>
        <v>0.5557692307692309</v>
      </c>
      <c r="GL23" s="311">
        <f t="shared" si="35"/>
        <v>0</v>
      </c>
      <c r="GM23" s="310">
        <f t="shared" si="36"/>
        <v>0.84016772920461447</v>
      </c>
      <c r="GO23" s="266" t="s">
        <v>66</v>
      </c>
      <c r="GP23" s="266" t="s">
        <v>275</v>
      </c>
      <c r="GQ23" s="14">
        <f>IF(GS23="","",COUNT($GS$4:GS23))</f>
        <v>18</v>
      </c>
      <c r="GR23" s="24" t="str">
        <f t="shared" si="166"/>
        <v>SV</v>
      </c>
      <c r="GS23" s="14">
        <f t="shared" si="168"/>
        <v>164</v>
      </c>
      <c r="GU23" s="66">
        <f t="shared" si="167"/>
        <v>248100</v>
      </c>
      <c r="GV23" s="264"/>
      <c r="GW23" s="264"/>
      <c r="GX23" s="13"/>
      <c r="GY23" s="14"/>
      <c r="GZ23" s="13"/>
      <c r="HA23" s="14">
        <f>IF(HC23="","",_xlfn.RANK.EQ(HC23,$HC$4:$HC$44,1)+COUNTIF($HC$4:$HC$44,HC23)-COUNTIF($HC$4:HC23,HC23))</f>
        <v>14</v>
      </c>
      <c r="HB23" s="24">
        <f t="shared" si="39"/>
        <v>20</v>
      </c>
      <c r="HC23" s="14">
        <f t="shared" si="0"/>
        <v>140</v>
      </c>
      <c r="HD23" s="24" t="str">
        <f t="shared" si="40"/>
        <v>Engine</v>
      </c>
      <c r="HE23" s="13" t="str">
        <f t="shared" si="1"/>
        <v>SV (2 Each)</v>
      </c>
      <c r="HF23" s="13" t="str">
        <f t="shared" si="153"/>
        <v>20    Engine  SV (2 Each)</v>
      </c>
      <c r="HG23" s="13"/>
      <c r="HH23" s="24" t="str">
        <f>IF(HE23="SV (2 Each)",VLOOKUP(HB23,$GQ$4:$GY$44,4),"")</f>
        <v xml:space="preserve">  PR+</v>
      </c>
      <c r="HI23" s="66">
        <f t="shared" si="4"/>
        <v>5058375</v>
      </c>
      <c r="HJ23" s="82">
        <f t="shared" si="5"/>
        <v>1423000</v>
      </c>
      <c r="HK23" s="66">
        <f t="shared" si="6"/>
        <v>256230</v>
      </c>
      <c r="HL23" s="66">
        <f t="shared" si="7"/>
        <v>16000</v>
      </c>
      <c r="HM23" s="66">
        <f t="shared" si="8"/>
        <v>8000</v>
      </c>
      <c r="HN23" s="24">
        <f>IF(HO23="","",HN22+1)</f>
        <v>20</v>
      </c>
      <c r="HO23" s="14">
        <f t="shared" si="9"/>
        <v>180</v>
      </c>
      <c r="HP23" s="24" t="str">
        <f t="shared" si="10"/>
        <v>Airframe</v>
      </c>
      <c r="HQ23" s="24" t="str">
        <f t="shared" si="11"/>
        <v>10C-Check</v>
      </c>
      <c r="HR23" s="13" t="str">
        <f>IF(HN23="","",HN23&amp;"       "&amp;HP23&amp;"  "&amp;HQ23)</f>
        <v>20       Airframe  10C-Check</v>
      </c>
      <c r="HT23" s="13" t="str">
        <f t="shared" si="12"/>
        <v/>
      </c>
      <c r="HU23" s="75">
        <f t="shared" si="13"/>
        <v>264480</v>
      </c>
      <c r="HV23" s="75" t="str">
        <f t="shared" si="42"/>
        <v/>
      </c>
      <c r="HW23" s="75" t="str">
        <f t="shared" si="14"/>
        <v/>
      </c>
      <c r="HX23" s="75" t="str">
        <f t="shared" si="15"/>
        <v/>
      </c>
      <c r="HY23" s="66" t="str">
        <f t="shared" si="16"/>
        <v/>
      </c>
      <c r="HZ23" s="151" t="str">
        <f t="shared" si="17"/>
        <v>Engine</v>
      </c>
      <c r="IA23" s="151" t="str">
        <f t="shared" si="18"/>
        <v>20    Engine  SV (2 Each)</v>
      </c>
      <c r="IB23" s="151"/>
      <c r="IC23" s="149">
        <f t="shared" si="19"/>
        <v>140</v>
      </c>
      <c r="ID23" s="151" t="str">
        <f>IF($E$26="Event",HH23,HT23)</f>
        <v xml:space="preserve">  PR+</v>
      </c>
      <c r="IE23" s="33">
        <f t="shared" si="21"/>
        <v>5058375</v>
      </c>
      <c r="IF23" s="33">
        <f t="shared" si="22"/>
        <v>1423000</v>
      </c>
      <c r="IG23" s="33">
        <f t="shared" si="23"/>
        <v>256230</v>
      </c>
      <c r="IH23" s="33">
        <f t="shared" si="24"/>
        <v>16000</v>
      </c>
      <c r="II23" s="33">
        <f t="shared" si="25"/>
        <v>8000</v>
      </c>
      <c r="IM23" s="13"/>
      <c r="IN23" s="13"/>
      <c r="IO23" s="13"/>
      <c r="IP23" s="13"/>
      <c r="IQ23" s="13"/>
    </row>
    <row r="24" spans="1:251" ht="12" x14ac:dyDescent="0.2">
      <c r="A24" s="36"/>
      <c r="B24" s="557"/>
      <c r="C24" s="26"/>
      <c r="D24" s="26"/>
      <c r="E24" s="26"/>
      <c r="F24" s="26"/>
      <c r="G24" s="26"/>
      <c r="H24" s="26"/>
      <c r="I24" s="26"/>
      <c r="J24" s="26"/>
      <c r="K24" s="26"/>
      <c r="L24" s="26"/>
      <c r="M24" s="26"/>
      <c r="N24" s="26"/>
      <c r="O24" s="26"/>
      <c r="P24" s="26"/>
      <c r="Q24" s="26"/>
      <c r="R24" s="26"/>
      <c r="S24" s="26"/>
      <c r="T24" s="26"/>
      <c r="U24" s="26"/>
      <c r="V24" s="26"/>
      <c r="W24" s="307"/>
      <c r="X24" s="307"/>
      <c r="Y24" s="229"/>
      <c r="Z24" s="36"/>
      <c r="AA24" s="36"/>
      <c r="AC24" s="20">
        <v>2.8</v>
      </c>
      <c r="AD24" s="18">
        <f>AD23-($AD$21-$AD$26)/5</f>
        <v>0.91980000000000006</v>
      </c>
      <c r="AE24" s="18">
        <f>AE23-($AE$21-$AE$26)/5</f>
        <v>1.038</v>
      </c>
      <c r="AF24" s="18">
        <f>AF23-($AF$21-$AF$26)/5</f>
        <v>0.91980000000000006</v>
      </c>
      <c r="AG24" s="18">
        <f>AG23-($AG$21-$AG$26)/5</f>
        <v>1.0289999999999997</v>
      </c>
      <c r="AH24" s="50">
        <f t="shared" si="156"/>
        <v>2439300</v>
      </c>
      <c r="AI24" s="51">
        <f t="shared" si="157"/>
        <v>86.461200000000005</v>
      </c>
      <c r="AJ24" s="50">
        <f t="shared" si="91"/>
        <v>10075.948187494176</v>
      </c>
      <c r="AK24" s="50">
        <f t="shared" si="92"/>
        <v>28212.65492498369</v>
      </c>
      <c r="AL24" s="348">
        <f t="shared" si="152"/>
        <v>2539057.4999999991</v>
      </c>
      <c r="AM24" s="354">
        <f t="shared" si="93"/>
        <v>141.85040625000002</v>
      </c>
      <c r="AN24" s="348">
        <f t="shared" si="94"/>
        <v>6392.6940639269378</v>
      </c>
      <c r="AO24" s="348">
        <f t="shared" si="95"/>
        <v>17899.543378995426</v>
      </c>
      <c r="AP24" s="7"/>
      <c r="AQ24" s="349">
        <f t="shared" si="96"/>
        <v>2.8</v>
      </c>
      <c r="AR24" s="50">
        <f t="shared" si="158"/>
        <v>2539057.4999999991</v>
      </c>
      <c r="AS24" s="51">
        <f t="shared" si="159"/>
        <v>141.85040625000002</v>
      </c>
      <c r="AT24" s="348">
        <f t="shared" si="160"/>
        <v>6392.6940639269378</v>
      </c>
      <c r="AU24" s="348">
        <f t="shared" si="161"/>
        <v>17899.543378995426</v>
      </c>
      <c r="AV24" s="350">
        <f t="shared" si="49"/>
        <v>2539057.4999999991</v>
      </c>
      <c r="AW24" s="349">
        <f t="shared" si="162"/>
        <v>141.85040625000002</v>
      </c>
      <c r="AX24" s="348">
        <f t="shared" si="163"/>
        <v>6392.6940639269378</v>
      </c>
      <c r="AY24" s="348">
        <f t="shared" si="164"/>
        <v>17899.543378995426</v>
      </c>
      <c r="AZ24" s="50"/>
      <c r="BA24" s="24" t="str">
        <f t="shared" si="144"/>
        <v/>
      </c>
      <c r="BB24" s="66" t="str">
        <f>IF(VLOOKUP($FW$29,SOURCE!$AH$5:$AJ$50,3,FALSE)="CFM56-5B",SOURCE!BB23,SOURCE!BG23)</f>
        <v/>
      </c>
      <c r="BC24" s="66" t="str">
        <f>IF(VLOOKUP($FW$29,SOURCE!$AH$5:$AJ$50,3,FALSE)="CFM56-5B",SOURCE!BC23,SOURCE!BH23)</f>
        <v/>
      </c>
      <c r="BD24" s="31" t="str">
        <f t="shared" si="97"/>
        <v/>
      </c>
      <c r="BE24" s="13"/>
      <c r="BF24" s="13"/>
      <c r="BG24" s="66" t="str">
        <f t="shared" si="98"/>
        <v/>
      </c>
      <c r="BH24" s="66" t="str">
        <f t="shared" si="99"/>
        <v/>
      </c>
      <c r="BI24" s="66" t="str">
        <f t="shared" si="149"/>
        <v/>
      </c>
      <c r="BJ24" s="13"/>
      <c r="BK24" s="13"/>
      <c r="BL24" s="66" t="str">
        <f t="shared" si="100"/>
        <v/>
      </c>
      <c r="BM24" s="66" t="str">
        <f t="shared" si="101"/>
        <v/>
      </c>
      <c r="BN24" s="66" t="str">
        <f t="shared" si="102"/>
        <v/>
      </c>
      <c r="BO24" s="66" t="str">
        <f t="shared" si="103"/>
        <v/>
      </c>
      <c r="BP24" s="66" t="str">
        <f t="shared" si="53"/>
        <v/>
      </c>
      <c r="BQ24" s="66" t="str">
        <f t="shared" si="104"/>
        <v/>
      </c>
      <c r="BR24" s="66" t="str">
        <f t="shared" si="105"/>
        <v/>
      </c>
      <c r="BS24" s="66" t="str">
        <f t="shared" si="106"/>
        <v/>
      </c>
      <c r="BT24" s="66" t="str">
        <f t="shared" si="54"/>
        <v/>
      </c>
      <c r="BU24" s="66" t="str">
        <f t="shared" si="107"/>
        <v/>
      </c>
      <c r="BV24" s="66" t="str">
        <f t="shared" si="108"/>
        <v/>
      </c>
      <c r="BW24" s="66" t="str">
        <f t="shared" si="55"/>
        <v/>
      </c>
      <c r="BX24" s="66" t="str">
        <f t="shared" si="109"/>
        <v/>
      </c>
      <c r="BY24" s="66" t="str">
        <f t="shared" si="56"/>
        <v/>
      </c>
      <c r="BZ24" s="66" t="str">
        <f t="shared" si="57"/>
        <v/>
      </c>
      <c r="CA24" s="66" t="str">
        <f t="shared" si="110"/>
        <v/>
      </c>
      <c r="CB24" s="66" t="str">
        <f t="shared" si="58"/>
        <v/>
      </c>
      <c r="CC24" s="66" t="str">
        <f t="shared" si="59"/>
        <v/>
      </c>
      <c r="CD24" s="66" t="str">
        <f t="shared" si="145"/>
        <v/>
      </c>
      <c r="CE24" s="66" t="str">
        <f t="shared" si="60"/>
        <v/>
      </c>
      <c r="CF24" s="66" t="str">
        <f t="shared" si="61"/>
        <v/>
      </c>
      <c r="CG24" s="66" t="str">
        <f t="shared" si="111"/>
        <v/>
      </c>
      <c r="CH24" s="66" t="str">
        <f t="shared" si="62"/>
        <v/>
      </c>
      <c r="CI24" s="66" t="str">
        <f t="shared" si="63"/>
        <v/>
      </c>
      <c r="CJ24" s="66" t="str">
        <f t="shared" si="112"/>
        <v/>
      </c>
      <c r="CK24" s="66" t="str">
        <f t="shared" si="113"/>
        <v/>
      </c>
      <c r="CL24" s="66" t="str">
        <f t="shared" si="64"/>
        <v/>
      </c>
      <c r="CM24" s="66" t="str">
        <f t="shared" si="114"/>
        <v/>
      </c>
      <c r="CN24" s="66" t="str">
        <f t="shared" si="115"/>
        <v/>
      </c>
      <c r="CO24" s="66" t="str">
        <f t="shared" si="116"/>
        <v/>
      </c>
      <c r="CP24" s="66" t="str">
        <f t="shared" si="117"/>
        <v/>
      </c>
      <c r="CQ24" s="66" t="str">
        <f t="shared" si="118"/>
        <v/>
      </c>
      <c r="CR24" s="66" t="str">
        <f t="shared" si="119"/>
        <v/>
      </c>
      <c r="CS24" s="66" t="str">
        <f t="shared" si="120"/>
        <v/>
      </c>
      <c r="CT24" s="66" t="str">
        <f t="shared" si="121"/>
        <v/>
      </c>
      <c r="CU24" s="66" t="str">
        <f t="shared" si="122"/>
        <v/>
      </c>
      <c r="CV24" s="66" t="str">
        <f t="shared" si="123"/>
        <v/>
      </c>
      <c r="CW24" s="66" t="str">
        <f t="shared" si="124"/>
        <v/>
      </c>
      <c r="CX24" s="66" t="str">
        <f t="shared" si="125"/>
        <v/>
      </c>
      <c r="CY24" s="66" t="str">
        <f t="shared" si="126"/>
        <v/>
      </c>
      <c r="CZ24" s="66" t="str">
        <f t="shared" si="127"/>
        <v/>
      </c>
      <c r="DA24" s="66" t="str">
        <f t="shared" si="128"/>
        <v/>
      </c>
      <c r="DB24" s="9"/>
      <c r="DC24" s="146" t="str">
        <f t="shared" si="154"/>
        <v>Eng LLPs</v>
      </c>
      <c r="DD24" s="146"/>
      <c r="DE24" s="146" t="str">
        <f t="shared" si="165"/>
        <v>Eng LLP</v>
      </c>
      <c r="DF24" s="286">
        <f>DF13</f>
        <v>2591000</v>
      </c>
      <c r="DG24" s="146"/>
      <c r="DH24" s="286">
        <f>DH13</f>
        <v>23333.333333333332</v>
      </c>
      <c r="DI24" s="146"/>
      <c r="DJ24" s="146"/>
      <c r="DK24" s="148">
        <f>DK13</f>
        <v>112.85000000000001</v>
      </c>
      <c r="DL24" s="66"/>
      <c r="DM24" s="44">
        <f t="shared" si="129"/>
        <v>18</v>
      </c>
      <c r="DN24" s="41">
        <f t="shared" si="65"/>
        <v>12272520</v>
      </c>
      <c r="DO24" s="41">
        <f t="shared" si="130"/>
        <v>122596.73076923078</v>
      </c>
      <c r="DP24" s="42">
        <f t="shared" si="66"/>
        <v>185400</v>
      </c>
      <c r="DQ24" s="42">
        <f t="shared" si="67"/>
        <v>0</v>
      </c>
      <c r="DR24" s="42">
        <f t="shared" si="68"/>
        <v>0</v>
      </c>
      <c r="DS24" s="42">
        <f t="shared" si="69"/>
        <v>0</v>
      </c>
      <c r="DT24" s="42">
        <f t="shared" si="70"/>
        <v>0</v>
      </c>
      <c r="DU24" s="42">
        <f t="shared" si="71"/>
        <v>0</v>
      </c>
      <c r="DV24" s="42">
        <f t="shared" si="72"/>
        <v>0</v>
      </c>
      <c r="DW24" s="42">
        <f t="shared" si="73"/>
        <v>0</v>
      </c>
      <c r="DX24" s="42">
        <f t="shared" si="74"/>
        <v>2021341.153846154</v>
      </c>
      <c r="DY24" s="42">
        <f>IF(DM24="",DY23,DN24-SUM($DO$6:DO24)+SUM($DP$6:DV24)-SUM($DW$6:DW24))</f>
        <v>10251178.846153846</v>
      </c>
      <c r="DZ24" s="43">
        <f t="shared" si="131"/>
        <v>0.83529534652653614</v>
      </c>
      <c r="EA24" s="43"/>
      <c r="EB24" s="43" t="str">
        <f t="shared" si="146"/>
        <v>True</v>
      </c>
      <c r="EC24" s="41">
        <f t="shared" si="132"/>
        <v>185400</v>
      </c>
      <c r="ED24" s="41">
        <f t="shared" si="133"/>
        <v>606690</v>
      </c>
      <c r="EE24" s="41">
        <f t="shared" si="75"/>
        <v>902280</v>
      </c>
      <c r="EF24" s="41">
        <f t="shared" si="147"/>
        <v>10300</v>
      </c>
      <c r="EG24" s="42">
        <f t="shared" si="134"/>
        <v>8426.25</v>
      </c>
      <c r="EH24" s="42">
        <f t="shared" si="135"/>
        <v>6265.8333333333321</v>
      </c>
      <c r="EI24" s="42">
        <f>IF(DM24="","",ROUND(EC24-EL24,0))</f>
        <v>0</v>
      </c>
      <c r="EJ24" s="42">
        <f t="shared" si="136"/>
        <v>151673</v>
      </c>
      <c r="EK24" s="42">
        <f t="shared" si="77"/>
        <v>112785</v>
      </c>
      <c r="EL24" s="42">
        <f>IF(DM24="","",EC24-SUM($EF$6:EF24)+SUM($DP$6:DP24))</f>
        <v>185400</v>
      </c>
      <c r="EM24" s="42">
        <f>IF(DM24="","",ED24-SUM($EG$6:EG24)+SUM($DQ$6:DQ24))</f>
        <v>455017.5</v>
      </c>
      <c r="EN24" s="42">
        <f>IF(DM24="","",EE24-SUM($EH$6:EH24)+SUM($DR$6:DR24))</f>
        <v>789495</v>
      </c>
      <c r="EO24" s="152">
        <f t="shared" si="148"/>
        <v>0.84391986402025532</v>
      </c>
      <c r="EP24" s="43"/>
      <c r="EQ24" s="42">
        <f t="shared" si="78"/>
        <v>448050</v>
      </c>
      <c r="ER24" s="42">
        <f t="shared" si="79"/>
        <v>248100</v>
      </c>
      <c r="ES24" s="42">
        <f t="shared" si="137"/>
        <v>3733.75</v>
      </c>
      <c r="ET24" s="42">
        <f t="shared" si="138"/>
        <v>6122.9807692307695</v>
      </c>
      <c r="EU24" s="42">
        <f t="shared" si="80"/>
        <v>67208</v>
      </c>
      <c r="EV24" s="42">
        <f t="shared" si="81"/>
        <v>110214</v>
      </c>
      <c r="EW24" s="42">
        <f>IF(DM24="","",IF(DS24&gt;0,DS24,EQ24-SUM($ES$6:ES24)+SUM($DS$6:DS24)))</f>
        <v>380842.5</v>
      </c>
      <c r="EX24" s="42">
        <f>IF(DM24="","",IF(DT24&gt;0,DT24,ER24-SUM($ET$6:ET24)+SUM($DT$6:DT24)))</f>
        <v>137886.34615384619</v>
      </c>
      <c r="EY24" s="43">
        <f t="shared" si="82"/>
        <v>0.5557692307692309</v>
      </c>
      <c r="EZ24" s="43">
        <f t="shared" si="83"/>
        <v>0.85</v>
      </c>
      <c r="FA24" s="43"/>
      <c r="FB24" s="42">
        <f t="shared" si="84"/>
        <v>4700000</v>
      </c>
      <c r="FC24" s="42">
        <f t="shared" si="85"/>
        <v>5182000</v>
      </c>
      <c r="FD24" s="41">
        <f t="shared" si="139"/>
        <v>54833.333333333336</v>
      </c>
      <c r="FE24" s="41">
        <f t="shared" si="140"/>
        <v>32914.583333333336</v>
      </c>
      <c r="FF24" s="42">
        <f t="shared" si="86"/>
        <v>987000</v>
      </c>
      <c r="FG24" s="42">
        <f t="shared" si="87"/>
        <v>592463</v>
      </c>
      <c r="FH24" s="42">
        <f>IF(DM24="","",IF(DU24&gt;0,DU24,FB24-SUM($FD$6:FD24)+SUM($DU$6:DU24)))</f>
        <v>3713000</v>
      </c>
      <c r="FI24" s="42">
        <f>IF(DM24="","",FC24-SUM($FE$6:FE24)+SUM($DV$6:DV24)-SUM($DW$6:DW24))</f>
        <v>4589537.5</v>
      </c>
      <c r="FJ24" s="152">
        <f t="shared" si="88"/>
        <v>0.84016772920461447</v>
      </c>
      <c r="FL24" s="25"/>
      <c r="FM24" s="23"/>
      <c r="FN24" s="8"/>
      <c r="FO24" s="8"/>
      <c r="FP24" s="8"/>
      <c r="FQ24" s="8"/>
      <c r="FR24" s="27">
        <v>2.8</v>
      </c>
      <c r="FS24" s="21">
        <v>0.18</v>
      </c>
      <c r="FT24" s="21"/>
      <c r="FU24" s="21"/>
      <c r="GC24" s="68">
        <f t="shared" si="26"/>
        <v>19</v>
      </c>
      <c r="GD24" s="78">
        <f t="shared" si="27"/>
        <v>0</v>
      </c>
      <c r="GE24" s="309">
        <f t="shared" si="28"/>
        <v>0.82564461978856596</v>
      </c>
      <c r="GF24" s="78">
        <f t="shared" si="29"/>
        <v>0</v>
      </c>
      <c r="GG24" s="310">
        <f t="shared" si="30"/>
        <v>0.83150278553590162</v>
      </c>
      <c r="GH24" s="78">
        <f t="shared" si="31"/>
        <v>0</v>
      </c>
      <c r="GI24" s="310">
        <f t="shared" si="32"/>
        <v>0.84166666666666667</v>
      </c>
      <c r="GJ24" s="311">
        <f t="shared" si="33"/>
        <v>0</v>
      </c>
      <c r="GK24" s="310">
        <f t="shared" si="34"/>
        <v>0.53108974358974381</v>
      </c>
      <c r="GL24" s="311">
        <f t="shared" si="35"/>
        <v>0</v>
      </c>
      <c r="GM24" s="310">
        <f t="shared" si="36"/>
        <v>0.83128815860487082</v>
      </c>
      <c r="GO24" s="266" t="s">
        <v>66</v>
      </c>
      <c r="GP24" s="266" t="s">
        <v>275</v>
      </c>
      <c r="GQ24" s="14" t="str">
        <f>IF(GS24="","",COUNT($GS$4:GS24))</f>
        <v/>
      </c>
      <c r="GR24" s="24" t="str">
        <f t="shared" si="166"/>
        <v/>
      </c>
      <c r="GS24" s="14" t="str">
        <f t="shared" si="168"/>
        <v/>
      </c>
      <c r="GU24" s="66" t="str">
        <f t="shared" si="167"/>
        <v/>
      </c>
      <c r="GV24" s="264"/>
      <c r="GW24" s="264"/>
      <c r="GX24" s="13"/>
      <c r="GY24" s="14"/>
      <c r="GZ24" s="13"/>
      <c r="HA24" s="14" t="str">
        <f>IF(HC24="","",_xlfn.RANK.EQ(HC24,$HC$4:$HC$44,1)+COUNTIF($HC$4:$HC$44,HC24)-COUNTIF($HC$4:HC24,HC24))</f>
        <v/>
      </c>
      <c r="HB24" s="24" t="str">
        <f t="shared" si="39"/>
        <v/>
      </c>
      <c r="HC24" s="14" t="str">
        <f t="shared" si="0"/>
        <v/>
      </c>
      <c r="HD24" s="24" t="str">
        <f t="shared" si="40"/>
        <v/>
      </c>
      <c r="HE24" s="13" t="str">
        <f t="shared" si="1"/>
        <v/>
      </c>
      <c r="HF24" s="13" t="str">
        <f t="shared" ref="HF24:HF43" si="169">IF(HB24="","",IF(HB24&lt;10,HB24&amp;"       "&amp;HD24&amp;"  "&amp;HE24,HB24&amp;"    "&amp;HD24&amp;"  "&amp;HE24))</f>
        <v/>
      </c>
      <c r="HG24" s="13"/>
      <c r="HH24" s="24" t="str">
        <f t="shared" si="3"/>
        <v/>
      </c>
      <c r="HI24" s="66" t="str">
        <f t="shared" si="4"/>
        <v/>
      </c>
      <c r="HJ24" s="82" t="str">
        <f t="shared" si="5"/>
        <v/>
      </c>
      <c r="HK24" s="66" t="str">
        <f t="shared" si="6"/>
        <v/>
      </c>
      <c r="HL24" s="66" t="str">
        <f t="shared" si="7"/>
        <v/>
      </c>
      <c r="HM24" s="66" t="str">
        <f t="shared" si="8"/>
        <v/>
      </c>
      <c r="HN24" s="24" t="str">
        <f t="shared" ref="HN24:HN41" si="170">IF(HO24="","",HN23+1)</f>
        <v/>
      </c>
      <c r="HO24" s="14" t="str">
        <f t="shared" si="9"/>
        <v/>
      </c>
      <c r="HP24" s="24" t="str">
        <f t="shared" si="10"/>
        <v/>
      </c>
      <c r="HQ24" s="24" t="str">
        <f t="shared" si="11"/>
        <v/>
      </c>
      <c r="HR24" s="13" t="str">
        <f t="shared" ref="HR24:HR41" si="171">IF(HN24="","",HN24&amp;"       "&amp;HP24&amp;"  "&amp;HQ24)</f>
        <v/>
      </c>
      <c r="HT24" s="13" t="str">
        <f t="shared" si="12"/>
        <v/>
      </c>
      <c r="HU24" s="75" t="str">
        <f t="shared" si="13"/>
        <v/>
      </c>
      <c r="HV24" s="75" t="str">
        <f t="shared" si="42"/>
        <v/>
      </c>
      <c r="HW24" s="75" t="str">
        <f t="shared" si="14"/>
        <v/>
      </c>
      <c r="HX24" s="75" t="str">
        <f t="shared" si="15"/>
        <v/>
      </c>
      <c r="HY24" s="66" t="str">
        <f t="shared" si="16"/>
        <v/>
      </c>
      <c r="HZ24" s="151" t="str">
        <f t="shared" si="17"/>
        <v/>
      </c>
      <c r="IA24" s="151" t="str">
        <f t="shared" si="18"/>
        <v/>
      </c>
      <c r="IB24" s="151"/>
      <c r="IC24" s="149" t="str">
        <f t="shared" si="19"/>
        <v/>
      </c>
      <c r="ID24" s="151" t="str">
        <f>IF($E$26="Event",HH24,HT24)</f>
        <v/>
      </c>
      <c r="IE24" s="33" t="str">
        <f t="shared" si="21"/>
        <v/>
      </c>
      <c r="IF24" s="33" t="str">
        <f t="shared" si="22"/>
        <v/>
      </c>
      <c r="IG24" s="33" t="str">
        <f t="shared" si="23"/>
        <v/>
      </c>
      <c r="IH24" s="33" t="str">
        <f t="shared" si="24"/>
        <v/>
      </c>
      <c r="II24" s="33" t="str">
        <f t="shared" si="25"/>
        <v/>
      </c>
      <c r="IM24" s="13"/>
      <c r="IN24" s="13"/>
      <c r="IO24" s="13"/>
      <c r="IP24" s="13"/>
      <c r="IQ24" s="13"/>
    </row>
    <row r="25" spans="1:251" ht="4.5" customHeight="1" x14ac:dyDescent="0.2">
      <c r="A25" s="7"/>
      <c r="B25" s="466"/>
      <c r="C25" s="402"/>
      <c r="D25" s="402"/>
      <c r="E25" s="402"/>
      <c r="F25" s="402"/>
      <c r="G25" s="467"/>
      <c r="H25" s="467"/>
      <c r="I25" s="467"/>
      <c r="J25" s="467"/>
      <c r="K25" s="467"/>
      <c r="L25" s="467"/>
      <c r="M25" s="467"/>
      <c r="N25" s="467"/>
      <c r="O25" s="467"/>
      <c r="P25" s="467"/>
      <c r="Q25" s="467"/>
      <c r="R25" s="467"/>
      <c r="S25" s="467"/>
      <c r="T25" s="467"/>
      <c r="U25" s="467"/>
      <c r="V25" s="467"/>
      <c r="W25" s="467"/>
      <c r="X25" s="467"/>
      <c r="Y25" s="468"/>
      <c r="Z25" s="36"/>
      <c r="AA25" s="36"/>
      <c r="AC25" s="20">
        <v>2.9</v>
      </c>
      <c r="AD25" s="18">
        <f>AD24-($AD$21-$AD$26)/5</f>
        <v>0.9114000000000001</v>
      </c>
      <c r="AE25" s="18">
        <f>AE24-($AE$21-$AE$26)/5</f>
        <v>1.044</v>
      </c>
      <c r="AF25" s="18">
        <f>AF24-($AF$21-$AF$26)/5</f>
        <v>0.9114000000000001</v>
      </c>
      <c r="AG25" s="18">
        <f>AG24-($AG$21-$AG$26)/5</f>
        <v>1.0319999999999996</v>
      </c>
      <c r="AH25" s="50">
        <f t="shared" si="156"/>
        <v>2453400</v>
      </c>
      <c r="AI25" s="51">
        <f t="shared" si="157"/>
        <v>85.671600000000012</v>
      </c>
      <c r="AJ25" s="50">
        <f t="shared" si="91"/>
        <v>9874.9177090190915</v>
      </c>
      <c r="AK25" s="50">
        <f t="shared" si="92"/>
        <v>28637.261356155363</v>
      </c>
      <c r="AL25" s="348">
        <f t="shared" si="152"/>
        <v>2546459.9999999991</v>
      </c>
      <c r="AM25" s="354">
        <f t="shared" si="93"/>
        <v>140.55496875000003</v>
      </c>
      <c r="AN25" s="348">
        <f t="shared" si="94"/>
        <v>6247.3042609702352</v>
      </c>
      <c r="AO25" s="348">
        <f t="shared" si="95"/>
        <v>18117.182356813682</v>
      </c>
      <c r="AP25" s="7"/>
      <c r="AQ25" s="349">
        <f t="shared" si="96"/>
        <v>2.9</v>
      </c>
      <c r="AR25" s="50">
        <f t="shared" si="158"/>
        <v>2546459.9999999991</v>
      </c>
      <c r="AS25" s="51">
        <f t="shared" si="159"/>
        <v>140.55496875000003</v>
      </c>
      <c r="AT25" s="348">
        <f t="shared" si="160"/>
        <v>6247.3042609702352</v>
      </c>
      <c r="AU25" s="348">
        <f t="shared" si="161"/>
        <v>18117.182356813682</v>
      </c>
      <c r="AV25" s="350">
        <f t="shared" si="49"/>
        <v>2546459.9999999991</v>
      </c>
      <c r="AW25" s="349">
        <f t="shared" si="162"/>
        <v>140.55496875000003</v>
      </c>
      <c r="AX25" s="348">
        <f t="shared" si="163"/>
        <v>6247.3042609702352</v>
      </c>
      <c r="AY25" s="348">
        <f t="shared" si="164"/>
        <v>18117.182356813682</v>
      </c>
      <c r="AZ25" s="50"/>
      <c r="BA25" s="24" t="str">
        <f t="shared" si="144"/>
        <v/>
      </c>
      <c r="BB25" s="66" t="str">
        <f>IF(VLOOKUP($FW$29,SOURCE!$AH$5:$AJ$50,3,FALSE)="CFM56-5B",SOURCE!BB24,SOURCE!BG24)</f>
        <v/>
      </c>
      <c r="BC25" s="66" t="str">
        <f>IF(VLOOKUP($FW$29,SOURCE!$AH$5:$AJ$50,3,FALSE)="CFM56-5B",SOURCE!BC24,SOURCE!BH24)</f>
        <v/>
      </c>
      <c r="BD25" s="31" t="str">
        <f t="shared" si="97"/>
        <v/>
      </c>
      <c r="BE25" s="13"/>
      <c r="BF25" s="13"/>
      <c r="BG25" s="66" t="str">
        <f t="shared" si="98"/>
        <v/>
      </c>
      <c r="BH25" s="66" t="str">
        <f t="shared" si="99"/>
        <v/>
      </c>
      <c r="BI25" s="66" t="str">
        <f t="shared" si="149"/>
        <v/>
      </c>
      <c r="BJ25" s="13"/>
      <c r="BK25" s="13"/>
      <c r="BL25" s="66" t="str">
        <f t="shared" si="100"/>
        <v/>
      </c>
      <c r="BM25" s="66" t="str">
        <f t="shared" si="101"/>
        <v/>
      </c>
      <c r="BN25" s="66" t="str">
        <f t="shared" si="102"/>
        <v/>
      </c>
      <c r="BO25" s="66" t="str">
        <f t="shared" si="103"/>
        <v/>
      </c>
      <c r="BP25" s="66" t="str">
        <f t="shared" si="53"/>
        <v/>
      </c>
      <c r="BQ25" s="66" t="str">
        <f t="shared" si="104"/>
        <v/>
      </c>
      <c r="BR25" s="66" t="str">
        <f t="shared" si="105"/>
        <v/>
      </c>
      <c r="BS25" s="66" t="str">
        <f t="shared" si="106"/>
        <v/>
      </c>
      <c r="BT25" s="66" t="str">
        <f t="shared" si="54"/>
        <v/>
      </c>
      <c r="BU25" s="66" t="str">
        <f t="shared" si="107"/>
        <v/>
      </c>
      <c r="BV25" s="66" t="str">
        <f t="shared" si="108"/>
        <v/>
      </c>
      <c r="BW25" s="66" t="str">
        <f t="shared" si="55"/>
        <v/>
      </c>
      <c r="BX25" s="66" t="str">
        <f t="shared" si="109"/>
        <v/>
      </c>
      <c r="BY25" s="66" t="str">
        <f t="shared" si="56"/>
        <v/>
      </c>
      <c r="BZ25" s="66" t="str">
        <f t="shared" si="57"/>
        <v/>
      </c>
      <c r="CA25" s="66" t="str">
        <f t="shared" si="110"/>
        <v/>
      </c>
      <c r="CB25" s="66" t="str">
        <f t="shared" si="58"/>
        <v/>
      </c>
      <c r="CC25" s="66" t="str">
        <f t="shared" si="59"/>
        <v/>
      </c>
      <c r="CD25" s="66" t="str">
        <f t="shared" si="145"/>
        <v/>
      </c>
      <c r="CE25" s="66" t="str">
        <f t="shared" si="60"/>
        <v/>
      </c>
      <c r="CF25" s="66" t="str">
        <f t="shared" si="61"/>
        <v/>
      </c>
      <c r="CG25" s="66" t="str">
        <f t="shared" si="111"/>
        <v/>
      </c>
      <c r="CH25" s="66" t="str">
        <f t="shared" si="62"/>
        <v/>
      </c>
      <c r="CI25" s="66" t="str">
        <f t="shared" si="63"/>
        <v/>
      </c>
      <c r="CJ25" s="66" t="str">
        <f t="shared" si="112"/>
        <v/>
      </c>
      <c r="CK25" s="66" t="str">
        <f t="shared" si="113"/>
        <v/>
      </c>
      <c r="CL25" s="66" t="str">
        <f t="shared" si="64"/>
        <v/>
      </c>
      <c r="CM25" s="66" t="str">
        <f t="shared" si="114"/>
        <v/>
      </c>
      <c r="CN25" s="66" t="str">
        <f t="shared" si="115"/>
        <v/>
      </c>
      <c r="CO25" s="66" t="str">
        <f t="shared" si="116"/>
        <v/>
      </c>
      <c r="CP25" s="66" t="str">
        <f t="shared" si="117"/>
        <v/>
      </c>
      <c r="CQ25" s="66" t="str">
        <f t="shared" si="118"/>
        <v/>
      </c>
      <c r="CR25" s="66" t="str">
        <f t="shared" si="119"/>
        <v/>
      </c>
      <c r="CS25" s="66" t="str">
        <f t="shared" si="120"/>
        <v/>
      </c>
      <c r="CT25" s="66" t="str">
        <f t="shared" si="121"/>
        <v/>
      </c>
      <c r="CU25" s="66" t="str">
        <f t="shared" si="122"/>
        <v/>
      </c>
      <c r="CV25" s="66" t="str">
        <f t="shared" si="123"/>
        <v/>
      </c>
      <c r="CW25" s="66" t="str">
        <f t="shared" si="124"/>
        <v/>
      </c>
      <c r="CX25" s="66" t="str">
        <f t="shared" si="125"/>
        <v/>
      </c>
      <c r="CY25" s="66" t="str">
        <f t="shared" si="126"/>
        <v/>
      </c>
      <c r="CZ25" s="66" t="str">
        <f t="shared" si="127"/>
        <v/>
      </c>
      <c r="DA25" s="66" t="str">
        <f t="shared" si="128"/>
        <v/>
      </c>
      <c r="DB25" s="9"/>
      <c r="DC25" s="13"/>
      <c r="DD25" s="13"/>
      <c r="DE25" s="13"/>
      <c r="DF25" s="66">
        <f>SUM(DF18:DF22)+2*SUM(DF23:DF24)</f>
        <v>12801925.5</v>
      </c>
      <c r="DG25" s="13"/>
      <c r="DH25" s="13"/>
      <c r="DI25" s="13"/>
      <c r="DJ25" s="13"/>
      <c r="DK25" s="31">
        <f>SUM(DK17:DK24)</f>
        <v>605.24031501831507</v>
      </c>
      <c r="DL25" s="66"/>
      <c r="DM25" s="44">
        <f t="shared" si="129"/>
        <v>19</v>
      </c>
      <c r="DN25" s="41">
        <f t="shared" si="65"/>
        <v>12307520</v>
      </c>
      <c r="DO25" s="41">
        <f t="shared" si="130"/>
        <v>124541.17521367522</v>
      </c>
      <c r="DP25" s="42">
        <f t="shared" si="66"/>
        <v>0</v>
      </c>
      <c r="DQ25" s="42">
        <f t="shared" si="67"/>
        <v>0</v>
      </c>
      <c r="DR25" s="42">
        <f t="shared" si="68"/>
        <v>0</v>
      </c>
      <c r="DS25" s="42">
        <f t="shared" si="69"/>
        <v>0</v>
      </c>
      <c r="DT25" s="42">
        <f t="shared" si="70"/>
        <v>0</v>
      </c>
      <c r="DU25" s="42">
        <f t="shared" si="71"/>
        <v>0</v>
      </c>
      <c r="DV25" s="42">
        <f t="shared" si="72"/>
        <v>0</v>
      </c>
      <c r="DW25" s="42">
        <f t="shared" si="73"/>
        <v>0</v>
      </c>
      <c r="DX25" s="42">
        <f t="shared" si="74"/>
        <v>2145882.3290598281</v>
      </c>
      <c r="DY25" s="42">
        <f>IF(DM25="",DY24,DN25-SUM($DO$6:DO25)+SUM($DP$6:DV25)-SUM($DW$6:DW25))</f>
        <v>10161637.670940172</v>
      </c>
      <c r="DZ25" s="43">
        <f t="shared" si="131"/>
        <v>0.82564461978856596</v>
      </c>
      <c r="EA25" s="43"/>
      <c r="EB25" s="43" t="str">
        <f t="shared" si="146"/>
        <v>False</v>
      </c>
      <c r="EC25" s="41">
        <f t="shared" si="132"/>
        <v>220400</v>
      </c>
      <c r="ED25" s="41">
        <f t="shared" si="133"/>
        <v>606690</v>
      </c>
      <c r="EE25" s="41">
        <f t="shared" si="75"/>
        <v>902280</v>
      </c>
      <c r="EF25" s="41">
        <f t="shared" si="147"/>
        <v>12244.444444444445</v>
      </c>
      <c r="EG25" s="42">
        <f t="shared" si="134"/>
        <v>8426.25</v>
      </c>
      <c r="EH25" s="42">
        <f t="shared" si="135"/>
        <v>6265.8333333333321</v>
      </c>
      <c r="EI25" s="42">
        <f t="shared" si="76"/>
        <v>12244</v>
      </c>
      <c r="EJ25" s="42">
        <f t="shared" si="136"/>
        <v>160099</v>
      </c>
      <c r="EK25" s="42">
        <f t="shared" si="77"/>
        <v>119051</v>
      </c>
      <c r="EL25" s="42">
        <f>IF(DM25="","",EC25-SUM($EF$6:EF25)+SUM($DP$6:DP25))</f>
        <v>208155.55555555556</v>
      </c>
      <c r="EM25" s="42">
        <f>IF(DM25="","",ED25-SUM($EG$6:EG25)+SUM($DQ$6:DQ25))</f>
        <v>446591.25</v>
      </c>
      <c r="EN25" s="42">
        <f>IF(DM25="","",EE25-SUM($EH$6:EH25)+SUM($DR$6:DR25))</f>
        <v>783229.16666666674</v>
      </c>
      <c r="EO25" s="152">
        <f t="shared" si="148"/>
        <v>0.83150278553590162</v>
      </c>
      <c r="EP25" s="43"/>
      <c r="EQ25" s="42">
        <f t="shared" si="78"/>
        <v>448050</v>
      </c>
      <c r="ER25" s="42">
        <f t="shared" si="79"/>
        <v>248100</v>
      </c>
      <c r="ES25" s="42">
        <f t="shared" si="137"/>
        <v>3733.75</v>
      </c>
      <c r="ET25" s="42">
        <f t="shared" si="138"/>
        <v>6122.9807692307695</v>
      </c>
      <c r="EU25" s="42">
        <f t="shared" si="80"/>
        <v>70941</v>
      </c>
      <c r="EV25" s="42">
        <f t="shared" si="81"/>
        <v>116337</v>
      </c>
      <c r="EW25" s="42">
        <f>IF(DM25="","",IF(DS25&gt;0,DS25,EQ25-SUM($ES$6:ES25)+SUM($DS$6:DS25)))</f>
        <v>377108.75</v>
      </c>
      <c r="EX25" s="42">
        <f>IF(DM25="","",IF(DT25&gt;0,DT25,ER25-SUM($ET$6:ET25)+SUM($DT$6:DT25)))</f>
        <v>131763.36538461543</v>
      </c>
      <c r="EY25" s="43">
        <f t="shared" si="82"/>
        <v>0.53108974358974381</v>
      </c>
      <c r="EZ25" s="43">
        <f t="shared" si="83"/>
        <v>0.84166666666666667</v>
      </c>
      <c r="FA25" s="43"/>
      <c r="FB25" s="42">
        <f t="shared" si="84"/>
        <v>4700000</v>
      </c>
      <c r="FC25" s="42">
        <f t="shared" si="85"/>
        <v>5182000</v>
      </c>
      <c r="FD25" s="41">
        <f t="shared" si="139"/>
        <v>54833.333333333336</v>
      </c>
      <c r="FE25" s="41">
        <f t="shared" si="140"/>
        <v>32914.583333333336</v>
      </c>
      <c r="FF25" s="42">
        <f t="shared" si="86"/>
        <v>1041833</v>
      </c>
      <c r="FG25" s="42">
        <f t="shared" si="87"/>
        <v>625377</v>
      </c>
      <c r="FH25" s="42">
        <f>IF(DM25="","",IF(DU25&gt;0,DU25,FB25-SUM($FD$6:FD25)+SUM($DU$6:DU25)))</f>
        <v>3658166.6666666665</v>
      </c>
      <c r="FI25" s="42">
        <f>IF(DM25="","",FC25-SUM($FE$6:FE25)+SUM($DV$6:DV25)-SUM($DW$6:DW25))</f>
        <v>4556622.916666667</v>
      </c>
      <c r="FJ25" s="152">
        <f t="shared" si="88"/>
        <v>0.83128815860487082</v>
      </c>
      <c r="FL25" s="23"/>
      <c r="FP25" s="8"/>
      <c r="FQ25" s="8"/>
      <c r="FR25" s="27">
        <v>2.9</v>
      </c>
      <c r="FS25" s="21">
        <v>0.19</v>
      </c>
      <c r="FT25" s="21"/>
      <c r="FU25" s="21"/>
      <c r="GC25" s="68">
        <f t="shared" si="26"/>
        <v>20</v>
      </c>
      <c r="GD25" s="78">
        <f t="shared" si="27"/>
        <v>0</v>
      </c>
      <c r="GE25" s="309">
        <f t="shared" si="28"/>
        <v>0.81552550763488474</v>
      </c>
      <c r="GF25" s="78">
        <f t="shared" si="29"/>
        <v>0</v>
      </c>
      <c r="GG25" s="310">
        <f t="shared" si="30"/>
        <v>0.81592686610988074</v>
      </c>
      <c r="GH25" s="78">
        <f t="shared" si="31"/>
        <v>0</v>
      </c>
      <c r="GI25" s="310">
        <f t="shared" si="32"/>
        <v>0.83333333333333337</v>
      </c>
      <c r="GJ25" s="311">
        <f t="shared" si="33"/>
        <v>0</v>
      </c>
      <c r="GK25" s="310">
        <f t="shared" si="34"/>
        <v>0.50641025641025661</v>
      </c>
      <c r="GL25" s="311">
        <f t="shared" si="35"/>
        <v>0</v>
      </c>
      <c r="GM25" s="310">
        <f t="shared" si="36"/>
        <v>0.82240858800512706</v>
      </c>
      <c r="GO25" s="266" t="s">
        <v>66</v>
      </c>
      <c r="GP25" s="266" t="s">
        <v>275</v>
      </c>
      <c r="GQ25" s="14" t="str">
        <f>IF(GS25="","",COUNT($GS$4:GS25))</f>
        <v/>
      </c>
      <c r="GR25" s="24" t="str">
        <f t="shared" si="166"/>
        <v/>
      </c>
      <c r="GS25" s="14" t="str">
        <f t="shared" si="168"/>
        <v/>
      </c>
      <c r="GU25" s="66" t="str">
        <f t="shared" si="167"/>
        <v/>
      </c>
      <c r="GV25" s="264"/>
      <c r="GW25" s="264"/>
      <c r="GX25" s="13"/>
      <c r="GY25" s="14"/>
      <c r="GZ25" s="13"/>
      <c r="HA25" s="14" t="str">
        <f>IF(HC25="","",_xlfn.RANK.EQ(HC25,$HC$4:$HC$44,1)+COUNTIF($HC$4:$HC$44,HC25)-COUNTIF($HC$4:HC25,HC25))</f>
        <v/>
      </c>
      <c r="HB25" s="24" t="str">
        <f t="shared" si="39"/>
        <v/>
      </c>
      <c r="HC25" s="14" t="str">
        <f t="shared" si="0"/>
        <v/>
      </c>
      <c r="HD25" s="24" t="str">
        <f t="shared" si="40"/>
        <v/>
      </c>
      <c r="HE25" s="13" t="str">
        <f t="shared" si="1"/>
        <v/>
      </c>
      <c r="HF25" s="13" t="str">
        <f t="shared" si="169"/>
        <v/>
      </c>
      <c r="HG25" s="13"/>
      <c r="HH25" s="24" t="str">
        <f t="shared" si="3"/>
        <v/>
      </c>
      <c r="HI25" s="66" t="str">
        <f t="shared" si="4"/>
        <v/>
      </c>
      <c r="HJ25" s="82" t="str">
        <f t="shared" si="5"/>
        <v/>
      </c>
      <c r="HK25" s="66" t="str">
        <f t="shared" si="6"/>
        <v/>
      </c>
      <c r="HL25" s="66" t="str">
        <f t="shared" si="7"/>
        <v/>
      </c>
      <c r="HM25" s="66" t="str">
        <f t="shared" si="8"/>
        <v/>
      </c>
      <c r="HN25" s="24" t="str">
        <f t="shared" si="170"/>
        <v/>
      </c>
      <c r="HO25" s="14" t="str">
        <f t="shared" si="9"/>
        <v/>
      </c>
      <c r="HP25" s="24" t="str">
        <f t="shared" si="10"/>
        <v/>
      </c>
      <c r="HQ25" s="24" t="str">
        <f t="shared" si="11"/>
        <v/>
      </c>
      <c r="HR25" s="13" t="str">
        <f t="shared" si="171"/>
        <v/>
      </c>
      <c r="HT25" s="13" t="str">
        <f t="shared" si="12"/>
        <v/>
      </c>
      <c r="HU25" s="75" t="str">
        <f t="shared" si="13"/>
        <v/>
      </c>
      <c r="HV25" s="75" t="str">
        <f t="shared" si="42"/>
        <v/>
      </c>
      <c r="HW25" s="75" t="str">
        <f t="shared" si="14"/>
        <v/>
      </c>
      <c r="HX25" s="75" t="str">
        <f t="shared" si="15"/>
        <v/>
      </c>
      <c r="HY25" s="66" t="str">
        <f t="shared" si="16"/>
        <v/>
      </c>
      <c r="HZ25" s="151" t="str">
        <f t="shared" si="17"/>
        <v/>
      </c>
      <c r="IA25" s="151" t="str">
        <f t="shared" si="18"/>
        <v/>
      </c>
      <c r="IB25" s="151"/>
      <c r="IC25" s="149" t="str">
        <f t="shared" si="19"/>
        <v/>
      </c>
      <c r="ID25" s="151" t="str">
        <f>IF($E$26="Event",HH25,HT25)</f>
        <v/>
      </c>
      <c r="IE25" s="33" t="str">
        <f t="shared" si="21"/>
        <v/>
      </c>
      <c r="IF25" s="33" t="str">
        <f t="shared" si="22"/>
        <v/>
      </c>
      <c r="IG25" s="33" t="str">
        <f t="shared" si="23"/>
        <v/>
      </c>
      <c r="IH25" s="33" t="str">
        <f t="shared" si="24"/>
        <v/>
      </c>
      <c r="II25" s="33" t="str">
        <f t="shared" si="25"/>
        <v/>
      </c>
      <c r="IM25" s="13"/>
      <c r="IN25" s="13"/>
      <c r="IO25" s="13"/>
      <c r="IP25" s="13"/>
      <c r="IQ25" s="13"/>
    </row>
    <row r="26" spans="1:251" ht="11.25" customHeight="1" x14ac:dyDescent="0.2">
      <c r="B26" s="469"/>
      <c r="C26" s="408" t="s">
        <v>361</v>
      </c>
      <c r="D26" s="408"/>
      <c r="E26" s="295" t="s">
        <v>2</v>
      </c>
      <c r="F26" s="443"/>
      <c r="G26" s="470" t="s">
        <v>266</v>
      </c>
      <c r="H26" s="470"/>
      <c r="I26" s="470" t="s">
        <v>266</v>
      </c>
      <c r="J26" s="470" t="s">
        <v>360</v>
      </c>
      <c r="K26" s="470" t="s">
        <v>360</v>
      </c>
      <c r="L26" s="470"/>
      <c r="M26" s="470" t="s">
        <v>266</v>
      </c>
      <c r="N26" s="243"/>
      <c r="O26" s="511" t="s">
        <v>359</v>
      </c>
      <c r="P26" s="512"/>
      <c r="Q26" s="512"/>
      <c r="R26" s="512"/>
      <c r="S26" s="512"/>
      <c r="T26" s="512"/>
      <c r="U26" s="512"/>
      <c r="V26" s="512"/>
      <c r="W26" s="512"/>
      <c r="X26" s="512"/>
      <c r="Y26" s="513"/>
      <c r="Z26" s="30"/>
      <c r="AA26" s="36"/>
      <c r="AC26" s="136">
        <v>3</v>
      </c>
      <c r="AD26" s="137">
        <f>IF($FY$7="True",SOURCE!BL11,SOURCE!BP11)</f>
        <v>0.90300000000000002</v>
      </c>
      <c r="AE26" s="137">
        <f>IF($FY$7="True",SOURCE!BM11,SOURCE!BQ11)</f>
        <v>1.05</v>
      </c>
      <c r="AF26" s="137">
        <f>IF($FY$7="True",SOURCE!BN11,SOURCE!BR11)</f>
        <v>0.90300000000000002</v>
      </c>
      <c r="AG26" s="137">
        <f>IF($FY$7="True",SOURCE!BO11,SOURCE!BS11)</f>
        <v>1.0349999999999999</v>
      </c>
      <c r="AH26" s="138">
        <f t="shared" si="156"/>
        <v>2467500</v>
      </c>
      <c r="AI26" s="136">
        <f t="shared" si="157"/>
        <v>84.882000000000005</v>
      </c>
      <c r="AJ26" s="138">
        <f t="shared" si="91"/>
        <v>9689.9224806201546</v>
      </c>
      <c r="AK26" s="138">
        <f t="shared" si="92"/>
        <v>29069.767441860462</v>
      </c>
      <c r="AL26" s="138">
        <f t="shared" si="152"/>
        <v>2553862.5</v>
      </c>
      <c r="AM26" s="355">
        <f t="shared" si="93"/>
        <v>139.25953125000001</v>
      </c>
      <c r="AN26" s="138">
        <f t="shared" si="94"/>
        <v>6112.956810631229</v>
      </c>
      <c r="AO26" s="138">
        <f t="shared" si="95"/>
        <v>18338.870431893687</v>
      </c>
      <c r="AP26" s="151"/>
      <c r="AQ26" s="136">
        <f t="shared" si="96"/>
        <v>3</v>
      </c>
      <c r="AR26" s="138">
        <f t="shared" si="158"/>
        <v>2553862.5</v>
      </c>
      <c r="AS26" s="136">
        <f>$AS$16*$AF26</f>
        <v>139.25953125000001</v>
      </c>
      <c r="AT26" s="138">
        <f t="shared" si="160"/>
        <v>6112.956810631229</v>
      </c>
      <c r="AU26" s="138">
        <f t="shared" si="161"/>
        <v>18338.870431893687</v>
      </c>
      <c r="AV26" s="33">
        <f t="shared" si="49"/>
        <v>2553862.5</v>
      </c>
      <c r="AW26" s="136">
        <f t="shared" si="162"/>
        <v>139.25953125000001</v>
      </c>
      <c r="AX26" s="138">
        <f t="shared" si="163"/>
        <v>6112.956810631229</v>
      </c>
      <c r="AY26" s="138">
        <f t="shared" si="164"/>
        <v>18338.870431893687</v>
      </c>
      <c r="AZ26" s="50"/>
      <c r="BA26" s="24" t="str">
        <f t="shared" si="144"/>
        <v/>
      </c>
      <c r="BB26" s="66" t="str">
        <f>IF(VLOOKUP($FW$29,SOURCE!$AH$5:$AJ$50,3,FALSE)="CFM56-5B",SOURCE!BB25,SOURCE!BG25)</f>
        <v/>
      </c>
      <c r="BC26" s="66" t="str">
        <f>IF(VLOOKUP($FW$29,SOURCE!$AH$5:$AJ$50,3,FALSE)="CFM56-5B",SOURCE!BC25,SOURCE!BH25)</f>
        <v/>
      </c>
      <c r="BD26" s="31" t="str">
        <f t="shared" si="97"/>
        <v/>
      </c>
      <c r="BE26" s="13"/>
      <c r="BF26" s="13"/>
      <c r="BG26" s="66" t="str">
        <f t="shared" si="98"/>
        <v/>
      </c>
      <c r="BH26" s="66" t="str">
        <f t="shared" si="99"/>
        <v/>
      </c>
      <c r="BI26" s="66" t="str">
        <f t="shared" si="149"/>
        <v/>
      </c>
      <c r="BJ26" s="13"/>
      <c r="BK26" s="13"/>
      <c r="BL26" s="66" t="str">
        <f t="shared" si="100"/>
        <v/>
      </c>
      <c r="BM26" s="66" t="str">
        <f t="shared" si="101"/>
        <v/>
      </c>
      <c r="BN26" s="66" t="str">
        <f t="shared" si="102"/>
        <v/>
      </c>
      <c r="BO26" s="66" t="str">
        <f t="shared" si="103"/>
        <v/>
      </c>
      <c r="BP26" s="66" t="str">
        <f t="shared" si="53"/>
        <v/>
      </c>
      <c r="BQ26" s="66" t="str">
        <f t="shared" si="104"/>
        <v/>
      </c>
      <c r="BR26" s="66" t="str">
        <f t="shared" si="105"/>
        <v/>
      </c>
      <c r="BS26" s="66" t="str">
        <f t="shared" si="106"/>
        <v/>
      </c>
      <c r="BT26" s="66" t="str">
        <f t="shared" si="54"/>
        <v/>
      </c>
      <c r="BU26" s="66" t="str">
        <f t="shared" si="107"/>
        <v/>
      </c>
      <c r="BV26" s="66" t="str">
        <f t="shared" si="108"/>
        <v/>
      </c>
      <c r="BW26" s="66" t="str">
        <f t="shared" si="55"/>
        <v/>
      </c>
      <c r="BX26" s="66" t="str">
        <f t="shared" si="109"/>
        <v/>
      </c>
      <c r="BY26" s="66" t="str">
        <f t="shared" si="56"/>
        <v/>
      </c>
      <c r="BZ26" s="66" t="str">
        <f t="shared" si="57"/>
        <v/>
      </c>
      <c r="CA26" s="66" t="str">
        <f t="shared" si="110"/>
        <v/>
      </c>
      <c r="CB26" s="66" t="str">
        <f t="shared" si="58"/>
        <v/>
      </c>
      <c r="CC26" s="66" t="str">
        <f t="shared" si="59"/>
        <v/>
      </c>
      <c r="CD26" s="66" t="str">
        <f t="shared" si="145"/>
        <v/>
      </c>
      <c r="CE26" s="66" t="str">
        <f t="shared" si="60"/>
        <v/>
      </c>
      <c r="CF26" s="66" t="str">
        <f t="shared" si="61"/>
        <v/>
      </c>
      <c r="CG26" s="66" t="str">
        <f t="shared" si="111"/>
        <v/>
      </c>
      <c r="CH26" s="66" t="str">
        <f t="shared" si="62"/>
        <v/>
      </c>
      <c r="CI26" s="66" t="str">
        <f t="shared" si="63"/>
        <v/>
      </c>
      <c r="CJ26" s="66" t="str">
        <f t="shared" si="112"/>
        <v/>
      </c>
      <c r="CK26" s="66" t="str">
        <f t="shared" si="113"/>
        <v/>
      </c>
      <c r="CL26" s="66" t="str">
        <f t="shared" si="64"/>
        <v/>
      </c>
      <c r="CM26" s="66" t="str">
        <f t="shared" si="114"/>
        <v/>
      </c>
      <c r="CN26" s="66" t="str">
        <f t="shared" si="115"/>
        <v/>
      </c>
      <c r="CO26" s="66" t="str">
        <f t="shared" si="116"/>
        <v/>
      </c>
      <c r="CP26" s="66" t="str">
        <f t="shared" si="117"/>
        <v/>
      </c>
      <c r="CQ26" s="66" t="str">
        <f t="shared" si="118"/>
        <v/>
      </c>
      <c r="CR26" s="66" t="str">
        <f t="shared" si="119"/>
        <v/>
      </c>
      <c r="CS26" s="66" t="str">
        <f t="shared" si="120"/>
        <v/>
      </c>
      <c r="CT26" s="66" t="str">
        <f t="shared" si="121"/>
        <v/>
      </c>
      <c r="CU26" s="66" t="str">
        <f t="shared" si="122"/>
        <v/>
      </c>
      <c r="CV26" s="66" t="str">
        <f t="shared" si="123"/>
        <v/>
      </c>
      <c r="CW26" s="66" t="str">
        <f t="shared" si="124"/>
        <v/>
      </c>
      <c r="CX26" s="66" t="str">
        <f t="shared" si="125"/>
        <v/>
      </c>
      <c r="CY26" s="66" t="str">
        <f t="shared" si="126"/>
        <v/>
      </c>
      <c r="CZ26" s="66" t="str">
        <f t="shared" si="127"/>
        <v/>
      </c>
      <c r="DA26" s="66" t="str">
        <f t="shared" si="128"/>
        <v/>
      </c>
      <c r="DL26" s="66"/>
      <c r="DM26" s="44">
        <f t="shared" si="129"/>
        <v>20</v>
      </c>
      <c r="DN26" s="41">
        <f t="shared" si="65"/>
        <v>12307520</v>
      </c>
      <c r="DO26" s="41">
        <f t="shared" si="130"/>
        <v>124541.17521367522</v>
      </c>
      <c r="DP26" s="42">
        <f t="shared" si="66"/>
        <v>0</v>
      </c>
      <c r="DQ26" s="42">
        <f t="shared" si="67"/>
        <v>0</v>
      </c>
      <c r="DR26" s="42">
        <f t="shared" si="68"/>
        <v>0</v>
      </c>
      <c r="DS26" s="42">
        <f t="shared" si="69"/>
        <v>0</v>
      </c>
      <c r="DT26" s="42">
        <f t="shared" si="70"/>
        <v>0</v>
      </c>
      <c r="DU26" s="42">
        <f t="shared" si="71"/>
        <v>0</v>
      </c>
      <c r="DV26" s="42">
        <f t="shared" si="72"/>
        <v>0</v>
      </c>
      <c r="DW26" s="42">
        <f t="shared" si="73"/>
        <v>0</v>
      </c>
      <c r="DX26" s="42">
        <f t="shared" si="74"/>
        <v>2270423.504273504</v>
      </c>
      <c r="DY26" s="42">
        <f>IF(DM26="",DY25,DN26-SUM($DO$6:DO26)+SUM($DP$6:DV26)-SUM($DW$6:DW26))</f>
        <v>10037096.495726496</v>
      </c>
      <c r="DZ26" s="43">
        <f t="shared" si="131"/>
        <v>0.81552550763488474</v>
      </c>
      <c r="EA26" s="43"/>
      <c r="EB26" s="43" t="str">
        <f t="shared" si="146"/>
        <v>False</v>
      </c>
      <c r="EC26" s="41">
        <f t="shared" si="132"/>
        <v>220400</v>
      </c>
      <c r="ED26" s="41">
        <f t="shared" si="133"/>
        <v>606690</v>
      </c>
      <c r="EE26" s="41">
        <f t="shared" si="75"/>
        <v>902280</v>
      </c>
      <c r="EF26" s="41">
        <f t="shared" si="147"/>
        <v>12244.444444444445</v>
      </c>
      <c r="EG26" s="42">
        <f t="shared" si="134"/>
        <v>8426.25</v>
      </c>
      <c r="EH26" s="42">
        <f t="shared" si="135"/>
        <v>6265.8333333333321</v>
      </c>
      <c r="EI26" s="42">
        <f t="shared" si="76"/>
        <v>24489</v>
      </c>
      <c r="EJ26" s="42">
        <f t="shared" si="136"/>
        <v>168525</v>
      </c>
      <c r="EK26" s="42">
        <f t="shared" si="77"/>
        <v>125317</v>
      </c>
      <c r="EL26" s="42">
        <f>IF(DM26="","",EC26-SUM($EF$6:EF26)+SUM($DP$6:DP26))</f>
        <v>195911.11111111112</v>
      </c>
      <c r="EM26" s="42">
        <f>IF(DM26="","",ED26-SUM($EG$6:EG26)+SUM($DQ$6:DQ26))</f>
        <v>438165</v>
      </c>
      <c r="EN26" s="42">
        <f>IF(DM26="","",EE26-SUM($EH$6:EH26)+SUM($DR$6:DR26))</f>
        <v>776963.33333333337</v>
      </c>
      <c r="EO26" s="152">
        <f t="shared" si="148"/>
        <v>0.81592686610988074</v>
      </c>
      <c r="EP26" s="43"/>
      <c r="EQ26" s="42">
        <f t="shared" si="78"/>
        <v>448050</v>
      </c>
      <c r="ER26" s="42">
        <f t="shared" si="79"/>
        <v>248100</v>
      </c>
      <c r="ES26" s="42">
        <f t="shared" si="137"/>
        <v>3733.75</v>
      </c>
      <c r="ET26" s="42">
        <f t="shared" si="138"/>
        <v>6122.9807692307695</v>
      </c>
      <c r="EU26" s="42">
        <f t="shared" si="80"/>
        <v>74675</v>
      </c>
      <c r="EV26" s="42">
        <f t="shared" si="81"/>
        <v>122460</v>
      </c>
      <c r="EW26" s="42">
        <f>IF(DM26="","",IF(DS26&gt;0,DS26,EQ26-SUM($ES$6:ES26)+SUM($DS$6:DS26)))</f>
        <v>373375</v>
      </c>
      <c r="EX26" s="42">
        <f>IF(DM26="","",IF(DT26&gt;0,DT26,ER26-SUM($ET$6:ET26)+SUM($DT$6:DT26)))</f>
        <v>125640.38461538465</v>
      </c>
      <c r="EY26" s="43">
        <f t="shared" si="82"/>
        <v>0.50641025641025661</v>
      </c>
      <c r="EZ26" s="43">
        <f t="shared" si="83"/>
        <v>0.83333333333333337</v>
      </c>
      <c r="FA26" s="43"/>
      <c r="FB26" s="42">
        <f t="shared" si="84"/>
        <v>4700000</v>
      </c>
      <c r="FC26" s="42">
        <f t="shared" si="85"/>
        <v>5182000</v>
      </c>
      <c r="FD26" s="41">
        <f t="shared" si="139"/>
        <v>54833.333333333336</v>
      </c>
      <c r="FE26" s="41">
        <f t="shared" si="140"/>
        <v>32914.583333333336</v>
      </c>
      <c r="FF26" s="42">
        <f t="shared" si="86"/>
        <v>1096667</v>
      </c>
      <c r="FG26" s="42">
        <f t="shared" si="87"/>
        <v>658292</v>
      </c>
      <c r="FH26" s="42">
        <f>IF(DM26="","",IF(DU26&gt;0,DU26,FB26-SUM($FD$6:FD26)+SUM($DU$6:DU26)))</f>
        <v>3603333.333333333</v>
      </c>
      <c r="FI26" s="42">
        <f>IF(DM26="","",FC26-SUM($FE$6:FE26)+SUM($DV$6:DV26)-SUM($DW$6:DW26))</f>
        <v>4523708.333333333</v>
      </c>
      <c r="FJ26" s="152">
        <f t="shared" si="88"/>
        <v>0.82240858800512706</v>
      </c>
      <c r="FL26" s="23"/>
      <c r="FP26" s="8"/>
      <c r="FQ26" s="8"/>
      <c r="FR26" s="27">
        <v>3</v>
      </c>
      <c r="FS26" s="21">
        <v>0.2</v>
      </c>
      <c r="FT26" s="21"/>
      <c r="FU26" s="21"/>
      <c r="GC26" s="68">
        <f t="shared" si="26"/>
        <v>21</v>
      </c>
      <c r="GD26" s="78">
        <f t="shared" si="27"/>
        <v>0</v>
      </c>
      <c r="GE26" s="309">
        <f t="shared" si="28"/>
        <v>0.80540639548120341</v>
      </c>
      <c r="GF26" s="78">
        <f t="shared" si="29"/>
        <v>0</v>
      </c>
      <c r="GG26" s="310">
        <f t="shared" si="30"/>
        <v>0.80035094668385987</v>
      </c>
      <c r="GH26" s="78">
        <f t="shared" si="31"/>
        <v>0</v>
      </c>
      <c r="GI26" s="310">
        <f t="shared" si="32"/>
        <v>0.82499999999999996</v>
      </c>
      <c r="GJ26" s="311">
        <f t="shared" si="33"/>
        <v>0</v>
      </c>
      <c r="GK26" s="310">
        <f t="shared" si="34"/>
        <v>0.48173076923076941</v>
      </c>
      <c r="GL26" s="311">
        <f t="shared" si="35"/>
        <v>0</v>
      </c>
      <c r="GM26" s="310">
        <f t="shared" si="36"/>
        <v>0.81352901740538353</v>
      </c>
      <c r="GO26" s="266" t="s">
        <v>66</v>
      </c>
      <c r="GP26" s="266" t="s">
        <v>275</v>
      </c>
      <c r="GQ26" s="14" t="str">
        <f>IF(GS26="","",COUNT($GS$4:GS26))</f>
        <v/>
      </c>
      <c r="GR26" s="24" t="str">
        <f t="shared" si="166"/>
        <v/>
      </c>
      <c r="GS26" s="14" t="str">
        <f t="shared" si="168"/>
        <v/>
      </c>
      <c r="GU26" s="66" t="str">
        <f t="shared" si="167"/>
        <v/>
      </c>
      <c r="GV26" s="264"/>
      <c r="GW26" s="264"/>
      <c r="GX26" s="13"/>
      <c r="GY26" s="14"/>
      <c r="GZ26" s="13"/>
      <c r="HA26" s="14" t="str">
        <f>IF(HC26="","",_xlfn.RANK.EQ(HC26,$HC$4:$HC$44,1)+COUNTIF($HC$4:$HC$44,HC26)-COUNTIF($HC$4:HC26,HC26))</f>
        <v/>
      </c>
      <c r="HB26" s="24" t="str">
        <f t="shared" si="39"/>
        <v/>
      </c>
      <c r="HC26" s="14" t="str">
        <f t="shared" si="0"/>
        <v/>
      </c>
      <c r="HD26" s="24" t="str">
        <f t="shared" si="40"/>
        <v/>
      </c>
      <c r="HE26" s="13" t="str">
        <f t="shared" si="1"/>
        <v/>
      </c>
      <c r="HF26" s="13" t="str">
        <f t="shared" si="169"/>
        <v/>
      </c>
      <c r="HG26" s="13"/>
      <c r="HH26" s="24" t="str">
        <f t="shared" si="3"/>
        <v/>
      </c>
      <c r="HI26" s="66" t="str">
        <f t="shared" si="4"/>
        <v/>
      </c>
      <c r="HJ26" s="82" t="str">
        <f>IF(HE26="SV (2 Each)",ROUND(VLOOKUP(HB26,$GQ$4:$GY$44,6),-3),"")</f>
        <v/>
      </c>
      <c r="HK26" s="66" t="str">
        <f t="shared" si="6"/>
        <v/>
      </c>
      <c r="HL26" s="66" t="str">
        <f t="shared" si="7"/>
        <v/>
      </c>
      <c r="HM26" s="66" t="str">
        <f t="shared" si="8"/>
        <v/>
      </c>
      <c r="HN26" s="24" t="str">
        <f t="shared" si="170"/>
        <v/>
      </c>
      <c r="HO26" s="14" t="str">
        <f t="shared" si="9"/>
        <v/>
      </c>
      <c r="HP26" s="24" t="str">
        <f t="shared" si="10"/>
        <v/>
      </c>
      <c r="HQ26" s="24" t="str">
        <f t="shared" si="11"/>
        <v/>
      </c>
      <c r="HR26" s="13" t="str">
        <f t="shared" si="171"/>
        <v/>
      </c>
      <c r="HT26" s="13" t="str">
        <f t="shared" si="12"/>
        <v/>
      </c>
      <c r="HU26" s="75" t="str">
        <f t="shared" si="13"/>
        <v/>
      </c>
      <c r="HV26" s="75" t="str">
        <f t="shared" si="42"/>
        <v/>
      </c>
      <c r="HW26" s="75" t="str">
        <f t="shared" si="14"/>
        <v/>
      </c>
      <c r="HX26" s="75" t="str">
        <f t="shared" si="15"/>
        <v/>
      </c>
      <c r="HY26" s="66" t="str">
        <f t="shared" si="16"/>
        <v/>
      </c>
      <c r="HZ26" s="151" t="str">
        <f t="shared" si="17"/>
        <v/>
      </c>
      <c r="IA26" s="151" t="str">
        <f t="shared" si="18"/>
        <v/>
      </c>
      <c r="IB26" s="151"/>
      <c r="IC26" s="149" t="str">
        <f t="shared" si="19"/>
        <v/>
      </c>
      <c r="ID26" s="151" t="str">
        <f t="shared" si="20"/>
        <v/>
      </c>
      <c r="IE26" s="33" t="str">
        <f t="shared" si="21"/>
        <v/>
      </c>
      <c r="IF26" s="33" t="str">
        <f t="shared" si="22"/>
        <v/>
      </c>
      <c r="IG26" s="33" t="str">
        <f t="shared" si="23"/>
        <v/>
      </c>
      <c r="IH26" s="33" t="str">
        <f t="shared" si="24"/>
        <v/>
      </c>
      <c r="II26" s="33" t="str">
        <f t="shared" si="25"/>
        <v/>
      </c>
      <c r="IM26" s="13"/>
      <c r="IN26" s="13"/>
      <c r="IO26" s="13"/>
      <c r="IP26" s="13"/>
      <c r="IQ26" s="13"/>
    </row>
    <row r="27" spans="1:251" ht="12" x14ac:dyDescent="0.2">
      <c r="B27" s="471"/>
      <c r="C27" s="403" t="s">
        <v>362</v>
      </c>
      <c r="D27" s="404"/>
      <c r="E27" s="404"/>
      <c r="F27" s="404"/>
      <c r="G27" s="472" t="s">
        <v>283</v>
      </c>
      <c r="H27" s="472"/>
      <c r="I27" s="472" t="s">
        <v>284</v>
      </c>
      <c r="J27" s="472" t="s">
        <v>12</v>
      </c>
      <c r="K27" s="472" t="s">
        <v>13</v>
      </c>
      <c r="L27" s="472"/>
      <c r="M27" s="472" t="s">
        <v>267</v>
      </c>
      <c r="N27" s="244"/>
      <c r="O27" s="472" t="s">
        <v>354</v>
      </c>
      <c r="P27" s="244"/>
      <c r="Q27" s="472" t="s">
        <v>339</v>
      </c>
      <c r="R27" s="244"/>
      <c r="S27" s="472" t="s">
        <v>36</v>
      </c>
      <c r="T27" s="244"/>
      <c r="U27" s="472" t="s">
        <v>358</v>
      </c>
      <c r="V27" s="244"/>
      <c r="W27" s="472" t="s">
        <v>357</v>
      </c>
      <c r="X27" s="472" t="s">
        <v>340</v>
      </c>
      <c r="Y27" s="472" t="s">
        <v>364</v>
      </c>
      <c r="Z27" s="30"/>
      <c r="AA27" s="36"/>
      <c r="AC27" s="20">
        <v>3.1</v>
      </c>
      <c r="AD27" s="18">
        <f>AD26-($AD$26-$AD$31)/5</f>
        <v>0.89760000000000006</v>
      </c>
      <c r="AE27" s="18">
        <f>AE26-($AE$26-$AE$31)/5</f>
        <v>1.0529999999999999</v>
      </c>
      <c r="AF27" s="18">
        <f>AF26-($AF$26-$AF$31)/5</f>
        <v>0.89760000000000006</v>
      </c>
      <c r="AG27" s="18">
        <f>AG26-($AG$26-$AG$31)/5</f>
        <v>1.038</v>
      </c>
      <c r="AH27" s="50">
        <f t="shared" si="156"/>
        <v>2474550</v>
      </c>
      <c r="AI27" s="51">
        <f t="shared" si="157"/>
        <v>84.374400000000009</v>
      </c>
      <c r="AJ27" s="50">
        <f t="shared" si="91"/>
        <v>9460.712437467655</v>
      </c>
      <c r="AK27" s="50">
        <f t="shared" si="92"/>
        <v>29328.20855614973</v>
      </c>
      <c r="AL27" s="348">
        <f t="shared" si="152"/>
        <v>2561265</v>
      </c>
      <c r="AM27" s="354">
        <f t="shared" si="93"/>
        <v>138.42675</v>
      </c>
      <c r="AN27" s="348">
        <f t="shared" si="94"/>
        <v>5968.6044505778855</v>
      </c>
      <c r="AO27" s="348">
        <f t="shared" si="95"/>
        <v>18502.673796791445</v>
      </c>
      <c r="AP27" s="7"/>
      <c r="AQ27" s="349">
        <f t="shared" si="96"/>
        <v>3.1</v>
      </c>
      <c r="AR27" s="50">
        <f t="shared" si="158"/>
        <v>2561265</v>
      </c>
      <c r="AS27" s="51">
        <f t="shared" si="159"/>
        <v>138.42675</v>
      </c>
      <c r="AT27" s="348">
        <f t="shared" si="160"/>
        <v>5968.6044505778855</v>
      </c>
      <c r="AU27" s="348">
        <f t="shared" si="161"/>
        <v>18502.673796791445</v>
      </c>
      <c r="AV27" s="350">
        <f t="shared" si="49"/>
        <v>2561265</v>
      </c>
      <c r="AW27" s="349">
        <f t="shared" si="162"/>
        <v>138.42675</v>
      </c>
      <c r="AX27" s="348">
        <f t="shared" si="163"/>
        <v>5968.6044505778855</v>
      </c>
      <c r="AY27" s="348">
        <f t="shared" si="164"/>
        <v>18502.673796791445</v>
      </c>
      <c r="AZ27" s="50"/>
      <c r="BA27" s="24" t="str">
        <f t="shared" si="144"/>
        <v/>
      </c>
      <c r="BB27" s="66" t="str">
        <f>IF(VLOOKUP($FW$29,SOURCE!$AH$5:$AJ$50,3,FALSE)="CFM56-5B",SOURCE!BB26,SOURCE!BG26)</f>
        <v/>
      </c>
      <c r="BC27" s="66" t="str">
        <f>IF(VLOOKUP($FW$29,SOURCE!$AH$5:$AJ$50,3,FALSE)="CFM56-5B",SOURCE!BC26,SOURCE!BH26)</f>
        <v/>
      </c>
      <c r="BD27" s="31" t="str">
        <f t="shared" si="97"/>
        <v/>
      </c>
      <c r="BE27" s="13"/>
      <c r="BF27" s="13"/>
      <c r="BG27" s="66" t="str">
        <f t="shared" si="98"/>
        <v/>
      </c>
      <c r="BH27" s="66" t="str">
        <f t="shared" si="99"/>
        <v/>
      </c>
      <c r="BI27" s="66" t="str">
        <f t="shared" si="149"/>
        <v/>
      </c>
      <c r="BJ27" s="13"/>
      <c r="BK27" s="13"/>
      <c r="BL27" s="66" t="str">
        <f t="shared" si="100"/>
        <v/>
      </c>
      <c r="BM27" s="66" t="str">
        <f t="shared" si="101"/>
        <v/>
      </c>
      <c r="BN27" s="66" t="str">
        <f t="shared" si="102"/>
        <v/>
      </c>
      <c r="BO27" s="66" t="str">
        <f t="shared" si="103"/>
        <v/>
      </c>
      <c r="BP27" s="66" t="str">
        <f t="shared" si="53"/>
        <v/>
      </c>
      <c r="BQ27" s="66" t="str">
        <f t="shared" si="104"/>
        <v/>
      </c>
      <c r="BR27" s="66" t="str">
        <f t="shared" si="105"/>
        <v/>
      </c>
      <c r="BS27" s="66" t="str">
        <f t="shared" si="106"/>
        <v/>
      </c>
      <c r="BT27" s="66" t="str">
        <f t="shared" si="54"/>
        <v/>
      </c>
      <c r="BU27" s="66" t="str">
        <f t="shared" si="107"/>
        <v/>
      </c>
      <c r="BV27" s="66" t="str">
        <f t="shared" si="108"/>
        <v/>
      </c>
      <c r="BW27" s="66" t="str">
        <f t="shared" si="55"/>
        <v/>
      </c>
      <c r="BX27" s="66" t="str">
        <f t="shared" si="109"/>
        <v/>
      </c>
      <c r="BY27" s="66" t="str">
        <f t="shared" si="56"/>
        <v/>
      </c>
      <c r="BZ27" s="66" t="str">
        <f t="shared" si="57"/>
        <v/>
      </c>
      <c r="CA27" s="66" t="str">
        <f t="shared" si="110"/>
        <v/>
      </c>
      <c r="CB27" s="66" t="str">
        <f t="shared" si="58"/>
        <v/>
      </c>
      <c r="CC27" s="66" t="str">
        <f t="shared" si="59"/>
        <v/>
      </c>
      <c r="CD27" s="66" t="str">
        <f t="shared" si="145"/>
        <v/>
      </c>
      <c r="CE27" s="66" t="str">
        <f t="shared" si="60"/>
        <v/>
      </c>
      <c r="CF27" s="66" t="str">
        <f t="shared" si="61"/>
        <v/>
      </c>
      <c r="CG27" s="66" t="str">
        <f t="shared" si="111"/>
        <v/>
      </c>
      <c r="CH27" s="66" t="str">
        <f t="shared" si="62"/>
        <v/>
      </c>
      <c r="CI27" s="66" t="str">
        <f t="shared" si="63"/>
        <v/>
      </c>
      <c r="CJ27" s="66" t="str">
        <f t="shared" si="112"/>
        <v/>
      </c>
      <c r="CK27" s="66" t="str">
        <f t="shared" si="113"/>
        <v/>
      </c>
      <c r="CL27" s="66" t="str">
        <f t="shared" si="64"/>
        <v/>
      </c>
      <c r="CM27" s="66" t="str">
        <f t="shared" si="114"/>
        <v/>
      </c>
      <c r="CN27" s="66" t="str">
        <f t="shared" si="115"/>
        <v/>
      </c>
      <c r="CO27" s="66" t="str">
        <f t="shared" si="116"/>
        <v/>
      </c>
      <c r="CP27" s="66" t="str">
        <f t="shared" si="117"/>
        <v/>
      </c>
      <c r="CQ27" s="66" t="str">
        <f t="shared" si="118"/>
        <v/>
      </c>
      <c r="CR27" s="66" t="str">
        <f t="shared" si="119"/>
        <v/>
      </c>
      <c r="CS27" s="66" t="str">
        <f t="shared" si="120"/>
        <v/>
      </c>
      <c r="CT27" s="66" t="str">
        <f t="shared" si="121"/>
        <v/>
      </c>
      <c r="CU27" s="66" t="str">
        <f t="shared" si="122"/>
        <v/>
      </c>
      <c r="CV27" s="66" t="str">
        <f t="shared" si="123"/>
        <v/>
      </c>
      <c r="CW27" s="66" t="str">
        <f t="shared" si="124"/>
        <v/>
      </c>
      <c r="CX27" s="66" t="str">
        <f t="shared" si="125"/>
        <v/>
      </c>
      <c r="CY27" s="66" t="str">
        <f t="shared" si="126"/>
        <v/>
      </c>
      <c r="CZ27" s="66" t="str">
        <f t="shared" si="127"/>
        <v/>
      </c>
      <c r="DA27" s="66" t="str">
        <f t="shared" si="128"/>
        <v/>
      </c>
      <c r="DM27" s="44">
        <f t="shared" si="129"/>
        <v>21</v>
      </c>
      <c r="DN27" s="41">
        <f t="shared" si="65"/>
        <v>12307520</v>
      </c>
      <c r="DO27" s="41">
        <f t="shared" si="130"/>
        <v>124541.17521367522</v>
      </c>
      <c r="DP27" s="42">
        <f t="shared" si="66"/>
        <v>0</v>
      </c>
      <c r="DQ27" s="42">
        <f t="shared" si="67"/>
        <v>0</v>
      </c>
      <c r="DR27" s="42">
        <f t="shared" si="68"/>
        <v>0</v>
      </c>
      <c r="DS27" s="42">
        <f t="shared" si="69"/>
        <v>0</v>
      </c>
      <c r="DT27" s="42">
        <f t="shared" si="70"/>
        <v>0</v>
      </c>
      <c r="DU27" s="42">
        <f t="shared" si="71"/>
        <v>0</v>
      </c>
      <c r="DV27" s="42">
        <f t="shared" si="72"/>
        <v>0</v>
      </c>
      <c r="DW27" s="42">
        <f t="shared" si="73"/>
        <v>0</v>
      </c>
      <c r="DX27" s="42">
        <f t="shared" si="74"/>
        <v>2394964.67948718</v>
      </c>
      <c r="DY27" s="42">
        <f>IF(DM27="",DY26,DN27-SUM($DO$6:DO27)+SUM($DP$6:DV27)-SUM($DW$6:DW27))</f>
        <v>9912555.32051282</v>
      </c>
      <c r="DZ27" s="43">
        <f t="shared" si="131"/>
        <v>0.80540639548120341</v>
      </c>
      <c r="EA27" s="43"/>
      <c r="EB27" s="43" t="str">
        <f t="shared" si="146"/>
        <v>False</v>
      </c>
      <c r="EC27" s="41">
        <f t="shared" si="132"/>
        <v>220400</v>
      </c>
      <c r="ED27" s="41">
        <f t="shared" si="133"/>
        <v>606690</v>
      </c>
      <c r="EE27" s="41">
        <f t="shared" si="75"/>
        <v>902280</v>
      </c>
      <c r="EF27" s="41">
        <f t="shared" si="147"/>
        <v>12244.444444444445</v>
      </c>
      <c r="EG27" s="42">
        <f t="shared" si="134"/>
        <v>8426.25</v>
      </c>
      <c r="EH27" s="42">
        <f t="shared" si="135"/>
        <v>6265.8333333333321</v>
      </c>
      <c r="EI27" s="42">
        <f t="shared" si="76"/>
        <v>36733</v>
      </c>
      <c r="EJ27" s="42">
        <f t="shared" si="136"/>
        <v>176951</v>
      </c>
      <c r="EK27" s="42">
        <f t="shared" si="77"/>
        <v>131583</v>
      </c>
      <c r="EL27" s="42">
        <f>IF(DM27="","",EC27-SUM($EF$6:EF27)+SUM($DP$6:DP27))</f>
        <v>183666.66666666669</v>
      </c>
      <c r="EM27" s="42">
        <f>IF(DM27="","",ED27-SUM($EG$6:EG27)+SUM($DQ$6:DQ27))</f>
        <v>429738.75</v>
      </c>
      <c r="EN27" s="42">
        <f>IF(DM27="","",EE27-SUM($EH$6:EH27)+SUM($DR$6:DR27))</f>
        <v>770697.5</v>
      </c>
      <c r="EO27" s="152">
        <f t="shared" si="148"/>
        <v>0.80035094668385987</v>
      </c>
      <c r="EP27" s="43"/>
      <c r="EQ27" s="42">
        <f t="shared" si="78"/>
        <v>448050</v>
      </c>
      <c r="ER27" s="42">
        <f t="shared" si="79"/>
        <v>248100</v>
      </c>
      <c r="ES27" s="42">
        <f t="shared" si="137"/>
        <v>3733.75</v>
      </c>
      <c r="ET27" s="42">
        <f t="shared" si="138"/>
        <v>6122.9807692307695</v>
      </c>
      <c r="EU27" s="42">
        <f t="shared" si="80"/>
        <v>78409</v>
      </c>
      <c r="EV27" s="42">
        <f t="shared" si="81"/>
        <v>128583</v>
      </c>
      <c r="EW27" s="42">
        <f>IF(DM27="","",IF(DS27&gt;0,DS27,EQ27-SUM($ES$6:ES27)+SUM($DS$6:DS27)))</f>
        <v>369641.25</v>
      </c>
      <c r="EX27" s="42">
        <f>IF(DM27="","",IF(DT27&gt;0,DT27,ER27-SUM($ET$6:ET27)+SUM($DT$6:DT27)))</f>
        <v>119517.40384615389</v>
      </c>
      <c r="EY27" s="43">
        <f t="shared" si="82"/>
        <v>0.48173076923076941</v>
      </c>
      <c r="EZ27" s="43">
        <f t="shared" si="83"/>
        <v>0.82499999999999996</v>
      </c>
      <c r="FA27" s="43"/>
      <c r="FB27" s="42">
        <f t="shared" si="84"/>
        <v>4700000</v>
      </c>
      <c r="FC27" s="42">
        <f t="shared" si="85"/>
        <v>5182000</v>
      </c>
      <c r="FD27" s="41">
        <f t="shared" si="139"/>
        <v>54833.333333333336</v>
      </c>
      <c r="FE27" s="41">
        <f t="shared" si="140"/>
        <v>32914.583333333336</v>
      </c>
      <c r="FF27" s="42">
        <f t="shared" si="86"/>
        <v>1151500</v>
      </c>
      <c r="FG27" s="42">
        <f t="shared" si="87"/>
        <v>691206</v>
      </c>
      <c r="FH27" s="42">
        <f>IF(DM27="","",IF(DU27&gt;0,DU27,FB27-SUM($FD$6:FD27)+SUM($DU$6:DU27)))</f>
        <v>3548500</v>
      </c>
      <c r="FI27" s="42">
        <f>IF(DM27="","",FC27-SUM($FE$6:FE27)+SUM($DV$6:DV27)-SUM($DW$6:DW27))</f>
        <v>4490793.75</v>
      </c>
      <c r="FJ27" s="152">
        <f t="shared" si="88"/>
        <v>0.81352901740538353</v>
      </c>
      <c r="FL27" s="23"/>
      <c r="FP27" s="8"/>
      <c r="FQ27" s="8"/>
      <c r="FR27" s="27">
        <v>3.1</v>
      </c>
      <c r="FS27" s="21"/>
      <c r="FT27" s="21"/>
      <c r="FU27" s="460" t="s">
        <v>263</v>
      </c>
      <c r="FV27" s="462"/>
      <c r="FW27" s="462"/>
      <c r="GC27" s="68">
        <f t="shared" si="26"/>
        <v>22</v>
      </c>
      <c r="GD27" s="78">
        <f t="shared" si="27"/>
        <v>0</v>
      </c>
      <c r="GE27" s="309">
        <f t="shared" si="28"/>
        <v>0.79528728332752219</v>
      </c>
      <c r="GF27" s="78">
        <f t="shared" si="29"/>
        <v>0</v>
      </c>
      <c r="GG27" s="310">
        <f t="shared" si="30"/>
        <v>0.78477502725783899</v>
      </c>
      <c r="GH27" s="78">
        <f t="shared" si="31"/>
        <v>0</v>
      </c>
      <c r="GI27" s="310">
        <f t="shared" si="32"/>
        <v>0.81666666666666665</v>
      </c>
      <c r="GJ27" s="311">
        <f t="shared" si="33"/>
        <v>0</v>
      </c>
      <c r="GK27" s="310">
        <f t="shared" si="34"/>
        <v>0.45705128205128226</v>
      </c>
      <c r="GL27" s="311">
        <f t="shared" si="35"/>
        <v>0</v>
      </c>
      <c r="GM27" s="310">
        <f t="shared" si="36"/>
        <v>0.80464944680563977</v>
      </c>
      <c r="GO27" s="266" t="s">
        <v>66</v>
      </c>
      <c r="GP27" s="266" t="s">
        <v>275</v>
      </c>
      <c r="GQ27" s="14" t="str">
        <f>IF(GS27="","",COUNT($GS$4:GS27))</f>
        <v/>
      </c>
      <c r="GR27" s="24" t="str">
        <f t="shared" si="166"/>
        <v/>
      </c>
      <c r="GS27" s="14" t="str">
        <f t="shared" si="168"/>
        <v/>
      </c>
      <c r="GU27" s="66" t="str">
        <f t="shared" si="167"/>
        <v/>
      </c>
      <c r="GV27" s="264"/>
      <c r="GW27" s="264"/>
      <c r="GX27" s="13"/>
      <c r="GY27" s="14"/>
      <c r="GZ27" s="13"/>
      <c r="HA27" s="14" t="str">
        <f>IF(HC27="","",_xlfn.RANK.EQ(HC27,$HC$4:$HC$44,1)+COUNTIF($HC$4:$HC$44,HC27)-COUNTIF($HC$4:HC27,HC27))</f>
        <v/>
      </c>
      <c r="HB27" s="24" t="str">
        <f t="shared" si="39"/>
        <v/>
      </c>
      <c r="HC27" s="14" t="str">
        <f t="shared" si="0"/>
        <v/>
      </c>
      <c r="HD27" s="24" t="str">
        <f t="shared" si="40"/>
        <v/>
      </c>
      <c r="HE27" s="13" t="str">
        <f t="shared" si="1"/>
        <v/>
      </c>
      <c r="HF27" s="13" t="str">
        <f t="shared" si="169"/>
        <v/>
      </c>
      <c r="HG27" s="13"/>
      <c r="HH27" s="24" t="str">
        <f t="shared" si="3"/>
        <v/>
      </c>
      <c r="HI27" s="66" t="str">
        <f t="shared" si="4"/>
        <v/>
      </c>
      <c r="HJ27" s="82" t="str">
        <f t="shared" si="5"/>
        <v/>
      </c>
      <c r="HK27" s="66" t="str">
        <f t="shared" si="6"/>
        <v/>
      </c>
      <c r="HL27" s="66" t="str">
        <f t="shared" si="7"/>
        <v/>
      </c>
      <c r="HM27" s="66" t="str">
        <f t="shared" si="8"/>
        <v/>
      </c>
      <c r="HN27" s="24" t="str">
        <f t="shared" si="170"/>
        <v/>
      </c>
      <c r="HO27" s="14" t="str">
        <f t="shared" si="9"/>
        <v/>
      </c>
      <c r="HP27" s="24" t="str">
        <f t="shared" si="10"/>
        <v/>
      </c>
      <c r="HQ27" s="24" t="str">
        <f t="shared" si="11"/>
        <v/>
      </c>
      <c r="HR27" s="13" t="str">
        <f t="shared" si="171"/>
        <v/>
      </c>
      <c r="HT27" s="13" t="str">
        <f t="shared" si="12"/>
        <v/>
      </c>
      <c r="HU27" s="75" t="str">
        <f t="shared" si="13"/>
        <v/>
      </c>
      <c r="HV27" s="75" t="str">
        <f t="shared" si="42"/>
        <v/>
      </c>
      <c r="HW27" s="75" t="str">
        <f t="shared" si="14"/>
        <v/>
      </c>
      <c r="HX27" s="75" t="str">
        <f t="shared" si="15"/>
        <v/>
      </c>
      <c r="HY27" s="66" t="str">
        <f t="shared" si="16"/>
        <v/>
      </c>
      <c r="HZ27" s="151" t="str">
        <f t="shared" si="17"/>
        <v/>
      </c>
      <c r="IA27" s="151" t="str">
        <f t="shared" si="18"/>
        <v/>
      </c>
      <c r="IB27" s="151"/>
      <c r="IC27" s="149" t="str">
        <f t="shared" si="19"/>
        <v/>
      </c>
      <c r="ID27" s="151" t="str">
        <f t="shared" si="20"/>
        <v/>
      </c>
      <c r="IE27" s="33" t="str">
        <f t="shared" si="21"/>
        <v/>
      </c>
      <c r="IF27" s="33" t="str">
        <f t="shared" si="22"/>
        <v/>
      </c>
      <c r="IG27" s="33" t="str">
        <f t="shared" si="23"/>
        <v/>
      </c>
      <c r="IH27" s="33" t="str">
        <f t="shared" si="24"/>
        <v/>
      </c>
      <c r="II27" s="33" t="str">
        <f t="shared" si="25"/>
        <v/>
      </c>
      <c r="IM27" s="13"/>
      <c r="IN27" s="13"/>
      <c r="IO27" s="13"/>
      <c r="IP27" s="13"/>
      <c r="IQ27" s="13"/>
    </row>
    <row r="28" spans="1:251" x14ac:dyDescent="0.2">
      <c r="A28" s="67">
        <f>GZ4</f>
        <v>20</v>
      </c>
      <c r="B28" s="423"/>
      <c r="C28" s="154" t="str">
        <f>IF(ROW()=31+$A$28,"Total",IF(IA4="","",IA4))</f>
        <v>1       Airframe  1C-Check</v>
      </c>
      <c r="D28" s="154"/>
      <c r="E28" s="424"/>
      <c r="F28" s="424"/>
      <c r="G28" s="425">
        <f t="shared" ref="G28:G59" si="172">IF(IC4="","",IC4)</f>
        <v>18</v>
      </c>
      <c r="H28" s="425"/>
      <c r="I28" s="426">
        <f t="shared" ref="I28:I59" si="173">IF(OR(G28="",$K$7=""),"",EDATE($K$7,G28))</f>
        <v>41821</v>
      </c>
      <c r="J28" s="425">
        <f t="shared" ref="J28:J59" si="174">IF(G28="","",(G28*$GA$4))</f>
        <v>5250</v>
      </c>
      <c r="K28" s="425">
        <f t="shared" ref="K28:K59" si="175">IF(G28="","",(G28*$GA$5))</f>
        <v>2625</v>
      </c>
      <c r="L28" s="425"/>
      <c r="M28" s="425">
        <f>IF(AND(NOT(C26=""),C28=""),SUM($M26:M$28),IF(C28="","",IF(HZ4="Engine",SUM(IE4:IF4),IE4)))</f>
        <v>185400</v>
      </c>
      <c r="N28" s="154"/>
      <c r="O28" s="156" t="str">
        <f t="shared" ref="O28:O59" si="176">IF(OR(IC4="",ID4=""),"",ID4)</f>
        <v/>
      </c>
      <c r="Q28" s="427" t="str">
        <f>IF(AND(NOT(C26=""),C28=""),SUM($Q26:Q$28),IF(C28="","",IF(HZ4="Engine",IE4,"")))</f>
        <v/>
      </c>
      <c r="R28" s="154"/>
      <c r="S28" s="427" t="str">
        <f>IF(AND(NOT(C26=""),C28=""),SUM($S26:S$28),IF(C28="","",IF(HZ4="Engine",IF4,"")))</f>
        <v/>
      </c>
      <c r="U28" s="425" t="str">
        <f t="shared" ref="U28:U59" si="177">IF(C28="","",IF(HZ4="Engine",IH4,""))</f>
        <v/>
      </c>
      <c r="V28" s="425"/>
      <c r="W28" s="425" t="str">
        <f t="shared" ref="W28:W59" si="178">IF(C28="","",IF(HZ4="Engine",II4,""))</f>
        <v/>
      </c>
      <c r="X28" s="428" t="str">
        <f>IF(AND(NOT(C26=""),C28=""),SUM($X26:X$28),IF(C28="","",IF(HZ4="Engine",-IG4,"")))</f>
        <v/>
      </c>
      <c r="Y28" s="429" t="str">
        <f t="shared" ref="Y28:Y59" si="179">IF(C28="","",IF(X28="","",IF(X28=0,0,-X28/(2*$BC$31))))</f>
        <v/>
      </c>
      <c r="Z28" s="30"/>
      <c r="AA28" s="36"/>
      <c r="AC28" s="20">
        <v>3.2</v>
      </c>
      <c r="AD28" s="18">
        <f>AD27-($AD$26-$AD$31)/5</f>
        <v>0.8922000000000001</v>
      </c>
      <c r="AE28" s="18">
        <f>AE27-($AE$26-$AE$31)/5</f>
        <v>1.0559999999999998</v>
      </c>
      <c r="AF28" s="18">
        <f>AF27-($AF$26-$AF$31)/5</f>
        <v>0.8922000000000001</v>
      </c>
      <c r="AG28" s="18">
        <f>AG27-($AG$26-$AG$31)/5</f>
        <v>1.0410000000000001</v>
      </c>
      <c r="AH28" s="50">
        <f t="shared" si="156"/>
        <v>2481599.9999999995</v>
      </c>
      <c r="AI28" s="51">
        <f t="shared" si="157"/>
        <v>83.866800000000012</v>
      </c>
      <c r="AJ28" s="50">
        <f t="shared" si="91"/>
        <v>9246.8056489576284</v>
      </c>
      <c r="AK28" s="50">
        <f t="shared" si="92"/>
        <v>29589.778076664414</v>
      </c>
      <c r="AL28" s="348">
        <f t="shared" si="152"/>
        <v>2568667.5000000005</v>
      </c>
      <c r="AM28" s="354">
        <f t="shared" si="93"/>
        <v>137.59396875000002</v>
      </c>
      <c r="AN28" s="348">
        <f t="shared" si="94"/>
        <v>5833.8937457969059</v>
      </c>
      <c r="AO28" s="348">
        <f t="shared" si="95"/>
        <v>18668.4599865501</v>
      </c>
      <c r="AP28" s="7"/>
      <c r="AQ28" s="349">
        <f t="shared" si="96"/>
        <v>3.2</v>
      </c>
      <c r="AR28" s="50">
        <f t="shared" si="158"/>
        <v>2568667.5000000005</v>
      </c>
      <c r="AS28" s="51">
        <f t="shared" si="159"/>
        <v>137.59396875000002</v>
      </c>
      <c r="AT28" s="348">
        <f t="shared" si="160"/>
        <v>5833.8937457969059</v>
      </c>
      <c r="AU28" s="348">
        <f t="shared" si="161"/>
        <v>18668.4599865501</v>
      </c>
      <c r="AV28" s="350">
        <f t="shared" si="49"/>
        <v>2568667.5000000005</v>
      </c>
      <c r="AW28" s="349">
        <f t="shared" si="162"/>
        <v>137.59396875000002</v>
      </c>
      <c r="AX28" s="348">
        <f t="shared" si="163"/>
        <v>5833.8937457969059</v>
      </c>
      <c r="AY28" s="348">
        <f t="shared" si="164"/>
        <v>18668.4599865501</v>
      </c>
      <c r="AZ28" s="50"/>
      <c r="BA28" s="24" t="str">
        <f t="shared" si="144"/>
        <v/>
      </c>
      <c r="BB28" s="66" t="str">
        <f>IF(VLOOKUP($FW$29,SOURCE!$AH$5:$AJ$50,3,FALSE)="CFM56-5B",SOURCE!BB27,SOURCE!BG27)</f>
        <v/>
      </c>
      <c r="BC28" s="66" t="str">
        <f>IF(VLOOKUP($FW$29,SOURCE!$AH$5:$AJ$50,3,FALSE)="CFM56-5B",SOURCE!BC27,SOURCE!BH27)</f>
        <v/>
      </c>
      <c r="BD28" s="31" t="str">
        <f t="shared" si="97"/>
        <v/>
      </c>
      <c r="BE28" s="13"/>
      <c r="BF28" s="13"/>
      <c r="BG28" s="66" t="str">
        <f t="shared" si="98"/>
        <v/>
      </c>
      <c r="BH28" s="66" t="str">
        <f t="shared" si="99"/>
        <v/>
      </c>
      <c r="BI28" s="66" t="str">
        <f t="shared" si="149"/>
        <v/>
      </c>
      <c r="BJ28" s="13"/>
      <c r="BK28" s="13"/>
      <c r="BL28" s="66" t="str">
        <f t="shared" si="100"/>
        <v/>
      </c>
      <c r="BM28" s="66" t="str">
        <f t="shared" si="101"/>
        <v/>
      </c>
      <c r="BN28" s="66" t="str">
        <f t="shared" si="102"/>
        <v/>
      </c>
      <c r="BO28" s="66" t="str">
        <f t="shared" si="103"/>
        <v/>
      </c>
      <c r="BP28" s="66" t="str">
        <f t="shared" si="53"/>
        <v/>
      </c>
      <c r="BQ28" s="66" t="str">
        <f t="shared" si="104"/>
        <v/>
      </c>
      <c r="BR28" s="66" t="str">
        <f t="shared" si="105"/>
        <v/>
      </c>
      <c r="BS28" s="66" t="str">
        <f t="shared" si="106"/>
        <v/>
      </c>
      <c r="BT28" s="66" t="str">
        <f t="shared" si="54"/>
        <v/>
      </c>
      <c r="BU28" s="66" t="str">
        <f t="shared" si="107"/>
        <v/>
      </c>
      <c r="BV28" s="66" t="str">
        <f t="shared" si="108"/>
        <v/>
      </c>
      <c r="BW28" s="66" t="str">
        <f t="shared" si="55"/>
        <v/>
      </c>
      <c r="BX28" s="66" t="str">
        <f t="shared" si="109"/>
        <v/>
      </c>
      <c r="BY28" s="66" t="str">
        <f t="shared" si="56"/>
        <v/>
      </c>
      <c r="BZ28" s="66" t="str">
        <f t="shared" si="57"/>
        <v/>
      </c>
      <c r="CA28" s="66" t="str">
        <f t="shared" si="110"/>
        <v/>
      </c>
      <c r="CB28" s="66" t="str">
        <f t="shared" si="58"/>
        <v/>
      </c>
      <c r="CC28" s="66" t="str">
        <f t="shared" si="59"/>
        <v/>
      </c>
      <c r="CD28" s="66" t="str">
        <f t="shared" si="145"/>
        <v/>
      </c>
      <c r="CE28" s="66" t="str">
        <f t="shared" si="60"/>
        <v/>
      </c>
      <c r="CF28" s="66" t="str">
        <f t="shared" si="61"/>
        <v/>
      </c>
      <c r="CG28" s="66" t="str">
        <f t="shared" si="111"/>
        <v/>
      </c>
      <c r="CH28" s="66" t="str">
        <f t="shared" si="62"/>
        <v/>
      </c>
      <c r="CI28" s="66" t="str">
        <f t="shared" si="63"/>
        <v/>
      </c>
      <c r="CJ28" s="66" t="str">
        <f t="shared" si="112"/>
        <v/>
      </c>
      <c r="CK28" s="66" t="str">
        <f t="shared" si="113"/>
        <v/>
      </c>
      <c r="CL28" s="66" t="str">
        <f t="shared" si="64"/>
        <v/>
      </c>
      <c r="CM28" s="66" t="str">
        <f t="shared" si="114"/>
        <v/>
      </c>
      <c r="CN28" s="66" t="str">
        <f t="shared" si="115"/>
        <v/>
      </c>
      <c r="CO28" s="66" t="str">
        <f t="shared" si="116"/>
        <v/>
      </c>
      <c r="CP28" s="66" t="str">
        <f t="shared" si="117"/>
        <v/>
      </c>
      <c r="CQ28" s="66" t="str">
        <f t="shared" si="118"/>
        <v/>
      </c>
      <c r="CR28" s="66" t="str">
        <f t="shared" si="119"/>
        <v/>
      </c>
      <c r="CS28" s="66" t="str">
        <f t="shared" si="120"/>
        <v/>
      </c>
      <c r="CT28" s="66" t="str">
        <f t="shared" si="121"/>
        <v/>
      </c>
      <c r="CU28" s="66" t="str">
        <f t="shared" si="122"/>
        <v/>
      </c>
      <c r="CV28" s="66" t="str">
        <f t="shared" si="123"/>
        <v/>
      </c>
      <c r="CW28" s="66" t="str">
        <f t="shared" si="124"/>
        <v/>
      </c>
      <c r="CX28" s="66" t="str">
        <f t="shared" si="125"/>
        <v/>
      </c>
      <c r="CY28" s="66" t="str">
        <f t="shared" si="126"/>
        <v/>
      </c>
      <c r="CZ28" s="66" t="str">
        <f t="shared" si="127"/>
        <v/>
      </c>
      <c r="DA28" s="66" t="str">
        <f t="shared" si="128"/>
        <v/>
      </c>
      <c r="DM28" s="44">
        <f t="shared" si="129"/>
        <v>22</v>
      </c>
      <c r="DN28" s="41">
        <f t="shared" si="65"/>
        <v>12307520</v>
      </c>
      <c r="DO28" s="41">
        <f t="shared" si="130"/>
        <v>124541.17521367522</v>
      </c>
      <c r="DP28" s="42">
        <f t="shared" si="66"/>
        <v>0</v>
      </c>
      <c r="DQ28" s="42">
        <f t="shared" si="67"/>
        <v>0</v>
      </c>
      <c r="DR28" s="42">
        <f t="shared" si="68"/>
        <v>0</v>
      </c>
      <c r="DS28" s="42">
        <f t="shared" si="69"/>
        <v>0</v>
      </c>
      <c r="DT28" s="42">
        <f t="shared" si="70"/>
        <v>0</v>
      </c>
      <c r="DU28" s="42">
        <f t="shared" si="71"/>
        <v>0</v>
      </c>
      <c r="DV28" s="42">
        <f t="shared" si="72"/>
        <v>0</v>
      </c>
      <c r="DW28" s="42">
        <f t="shared" si="73"/>
        <v>0</v>
      </c>
      <c r="DX28" s="42">
        <f t="shared" si="74"/>
        <v>2519505.854700854</v>
      </c>
      <c r="DY28" s="42">
        <f>IF(DM28="",DY27,DN28-SUM($DO$6:DO28)+SUM($DP$6:DV28)-SUM($DW$6:DW28))</f>
        <v>9788014.145299146</v>
      </c>
      <c r="DZ28" s="43">
        <f t="shared" si="131"/>
        <v>0.79528728332752219</v>
      </c>
      <c r="EA28" s="43"/>
      <c r="EB28" s="43" t="str">
        <f t="shared" si="146"/>
        <v>False</v>
      </c>
      <c r="EC28" s="41">
        <f t="shared" si="132"/>
        <v>220400</v>
      </c>
      <c r="ED28" s="41">
        <f t="shared" si="133"/>
        <v>606690</v>
      </c>
      <c r="EE28" s="41">
        <f t="shared" si="75"/>
        <v>902280</v>
      </c>
      <c r="EF28" s="41">
        <f t="shared" si="147"/>
        <v>12244.444444444445</v>
      </c>
      <c r="EG28" s="42">
        <f t="shared" si="134"/>
        <v>8426.25</v>
      </c>
      <c r="EH28" s="42">
        <f t="shared" si="135"/>
        <v>6265.8333333333321</v>
      </c>
      <c r="EI28" s="42">
        <f t="shared" si="76"/>
        <v>48978</v>
      </c>
      <c r="EJ28" s="42">
        <f t="shared" si="136"/>
        <v>185378</v>
      </c>
      <c r="EK28" s="42">
        <f t="shared" si="77"/>
        <v>137848</v>
      </c>
      <c r="EL28" s="42">
        <f>IF(DM28="","",EC28-SUM($EF$6:EF28)+SUM($DP$6:DP28))</f>
        <v>171422.22222222225</v>
      </c>
      <c r="EM28" s="42">
        <f>IF(DM28="","",ED28-SUM($EG$6:EG28)+SUM($DQ$6:DQ28))</f>
        <v>421312.5</v>
      </c>
      <c r="EN28" s="42">
        <f>IF(DM28="","",EE28-SUM($EH$6:EH28)+SUM($DR$6:DR28))</f>
        <v>764431.66666666674</v>
      </c>
      <c r="EO28" s="152">
        <f t="shared" si="148"/>
        <v>0.78477502725783899</v>
      </c>
      <c r="EP28" s="43"/>
      <c r="EQ28" s="42">
        <f t="shared" si="78"/>
        <v>448050</v>
      </c>
      <c r="ER28" s="42">
        <f t="shared" si="79"/>
        <v>248100</v>
      </c>
      <c r="ES28" s="42">
        <f t="shared" si="137"/>
        <v>3733.75</v>
      </c>
      <c r="ET28" s="42">
        <f t="shared" si="138"/>
        <v>6122.9807692307695</v>
      </c>
      <c r="EU28" s="42">
        <f t="shared" si="80"/>
        <v>82143</v>
      </c>
      <c r="EV28" s="42">
        <f t="shared" si="81"/>
        <v>134706</v>
      </c>
      <c r="EW28" s="42">
        <f>IF(DM28="","",IF(DS28&gt;0,DS28,EQ28-SUM($ES$6:ES28)+SUM($DS$6:DS28)))</f>
        <v>365907.5</v>
      </c>
      <c r="EX28" s="42">
        <f>IF(DM28="","",IF(DT28&gt;0,DT28,ER28-SUM($ET$6:ET28)+SUM($DT$6:DT28)))</f>
        <v>113394.42307692312</v>
      </c>
      <c r="EY28" s="43">
        <f t="shared" si="82"/>
        <v>0.45705128205128226</v>
      </c>
      <c r="EZ28" s="43">
        <f t="shared" si="83"/>
        <v>0.81666666666666665</v>
      </c>
      <c r="FA28" s="43"/>
      <c r="FB28" s="42">
        <f t="shared" si="84"/>
        <v>4700000</v>
      </c>
      <c r="FC28" s="42">
        <f t="shared" si="85"/>
        <v>5182000</v>
      </c>
      <c r="FD28" s="41">
        <f t="shared" si="139"/>
        <v>54833.333333333336</v>
      </c>
      <c r="FE28" s="41">
        <f t="shared" si="140"/>
        <v>32914.583333333336</v>
      </c>
      <c r="FF28" s="42">
        <f t="shared" si="86"/>
        <v>1206333</v>
      </c>
      <c r="FG28" s="42">
        <f t="shared" si="87"/>
        <v>724121</v>
      </c>
      <c r="FH28" s="42">
        <f>IF(DM28="","",IF(DU28&gt;0,DU28,FB28-SUM($FD$6:FD28)+SUM($DU$6:DU28)))</f>
        <v>3493666.6666666665</v>
      </c>
      <c r="FI28" s="42">
        <f>IF(DM28="","",FC28-SUM($FE$6:FE28)+SUM($DV$6:DV28)-SUM($DW$6:DW28))</f>
        <v>4457879.166666666</v>
      </c>
      <c r="FJ28" s="152">
        <f t="shared" si="88"/>
        <v>0.80464944680563977</v>
      </c>
      <c r="FL28" s="23"/>
      <c r="FP28" s="8"/>
      <c r="FQ28" s="8"/>
      <c r="FR28" s="27">
        <v>3.2</v>
      </c>
      <c r="FS28" s="21"/>
      <c r="FT28" s="21"/>
      <c r="FU28" s="463" t="s">
        <v>285</v>
      </c>
      <c r="FV28" s="462"/>
      <c r="FW28" s="463" t="s">
        <v>270</v>
      </c>
      <c r="GC28" s="68">
        <f t="shared" si="26"/>
        <v>23</v>
      </c>
      <c r="GD28" s="78">
        <f t="shared" si="27"/>
        <v>0</v>
      </c>
      <c r="GE28" s="309">
        <f t="shared" si="28"/>
        <v>0.78516817117384108</v>
      </c>
      <c r="GF28" s="78">
        <f t="shared" si="29"/>
        <v>0</v>
      </c>
      <c r="GG28" s="310">
        <f t="shared" si="30"/>
        <v>0.769199107831818</v>
      </c>
      <c r="GH28" s="78">
        <f t="shared" si="31"/>
        <v>0</v>
      </c>
      <c r="GI28" s="310">
        <f t="shared" si="32"/>
        <v>0.80833333333333335</v>
      </c>
      <c r="GJ28" s="311">
        <f t="shared" si="33"/>
        <v>0</v>
      </c>
      <c r="GK28" s="310">
        <f t="shared" si="34"/>
        <v>0.432371794871795</v>
      </c>
      <c r="GL28" s="311">
        <f t="shared" si="35"/>
        <v>0</v>
      </c>
      <c r="GM28" s="310">
        <f t="shared" si="36"/>
        <v>0.79576987620589623</v>
      </c>
      <c r="GO28" s="266" t="s">
        <v>66</v>
      </c>
      <c r="GP28" s="266" t="s">
        <v>275</v>
      </c>
      <c r="GQ28" s="14" t="str">
        <f>IF(GS28="","",COUNT($GS$4:GS28))</f>
        <v/>
      </c>
      <c r="GR28" s="24" t="str">
        <f t="shared" si="166"/>
        <v/>
      </c>
      <c r="GS28" s="14" t="str">
        <f t="shared" si="168"/>
        <v/>
      </c>
      <c r="GU28" s="66" t="str">
        <f t="shared" si="167"/>
        <v/>
      </c>
      <c r="GV28" s="264"/>
      <c r="GW28" s="264"/>
      <c r="GX28" s="13"/>
      <c r="GY28" s="14"/>
      <c r="GZ28" s="13"/>
      <c r="HA28" s="14" t="str">
        <f>IF(HC28="","",_xlfn.RANK.EQ(HC28,$HC$4:$HC$44,1)+COUNTIF($HC$4:$HC$44,HC28)-COUNTIF($HC$4:HC28,HC28))</f>
        <v/>
      </c>
      <c r="HB28" s="24" t="str">
        <f t="shared" si="39"/>
        <v/>
      </c>
      <c r="HC28" s="14" t="str">
        <f t="shared" si="0"/>
        <v/>
      </c>
      <c r="HD28" s="24" t="str">
        <f t="shared" si="40"/>
        <v/>
      </c>
      <c r="HE28" s="13" t="str">
        <f t="shared" si="1"/>
        <v/>
      </c>
      <c r="HF28" s="13" t="str">
        <f t="shared" si="169"/>
        <v/>
      </c>
      <c r="HG28" s="13"/>
      <c r="HH28" s="24" t="str">
        <f t="shared" si="3"/>
        <v/>
      </c>
      <c r="HI28" s="66" t="str">
        <f t="shared" si="4"/>
        <v/>
      </c>
      <c r="HJ28" s="82" t="str">
        <f t="shared" si="5"/>
        <v/>
      </c>
      <c r="HK28" s="66" t="str">
        <f t="shared" si="6"/>
        <v/>
      </c>
      <c r="HL28" s="66" t="str">
        <f t="shared" si="7"/>
        <v/>
      </c>
      <c r="HM28" s="66" t="str">
        <f t="shared" si="8"/>
        <v/>
      </c>
      <c r="HN28" s="24" t="str">
        <f t="shared" si="170"/>
        <v/>
      </c>
      <c r="HO28" s="14" t="str">
        <f t="shared" si="9"/>
        <v/>
      </c>
      <c r="HP28" s="24" t="str">
        <f t="shared" si="10"/>
        <v/>
      </c>
      <c r="HQ28" s="24" t="str">
        <f t="shared" si="11"/>
        <v/>
      </c>
      <c r="HR28" s="13" t="str">
        <f t="shared" si="171"/>
        <v/>
      </c>
      <c r="HT28" s="13" t="str">
        <f t="shared" si="12"/>
        <v/>
      </c>
      <c r="HU28" s="75" t="str">
        <f t="shared" si="13"/>
        <v/>
      </c>
      <c r="HV28" s="75" t="str">
        <f t="shared" si="42"/>
        <v/>
      </c>
      <c r="HW28" s="75" t="str">
        <f t="shared" si="14"/>
        <v/>
      </c>
      <c r="HX28" s="75" t="str">
        <f t="shared" si="15"/>
        <v/>
      </c>
      <c r="HY28" s="66" t="str">
        <f t="shared" si="16"/>
        <v/>
      </c>
      <c r="HZ28" s="151" t="str">
        <f t="shared" si="17"/>
        <v/>
      </c>
      <c r="IA28" s="151" t="str">
        <f t="shared" si="18"/>
        <v/>
      </c>
      <c r="IB28" s="151"/>
      <c r="IC28" s="149" t="str">
        <f t="shared" si="19"/>
        <v/>
      </c>
      <c r="ID28" s="151" t="str">
        <f t="shared" si="20"/>
        <v/>
      </c>
      <c r="IE28" s="33" t="str">
        <f t="shared" si="21"/>
        <v/>
      </c>
      <c r="IF28" s="33" t="str">
        <f t="shared" si="22"/>
        <v/>
      </c>
      <c r="IG28" s="33" t="str">
        <f t="shared" si="23"/>
        <v/>
      </c>
      <c r="IH28" s="33" t="str">
        <f t="shared" si="24"/>
        <v/>
      </c>
      <c r="II28" s="33" t="str">
        <f t="shared" si="25"/>
        <v/>
      </c>
      <c r="IM28" s="13"/>
      <c r="IN28" s="13"/>
      <c r="IO28" s="13"/>
      <c r="IP28" s="13"/>
      <c r="IQ28" s="13"/>
    </row>
    <row r="29" spans="1:251" x14ac:dyDescent="0.2">
      <c r="B29" s="423"/>
      <c r="C29" s="154" t="str">
        <f t="shared" ref="C29:C59" si="180">IF(IA5="","",IA5)</f>
        <v>2       Airframe  2C-Check</v>
      </c>
      <c r="D29" s="154"/>
      <c r="E29" s="424"/>
      <c r="F29" s="424"/>
      <c r="G29" s="425">
        <f t="shared" si="172"/>
        <v>36</v>
      </c>
      <c r="H29" s="425"/>
      <c r="I29" s="426">
        <f t="shared" si="173"/>
        <v>42370</v>
      </c>
      <c r="J29" s="425">
        <f t="shared" si="174"/>
        <v>10500</v>
      </c>
      <c r="K29" s="425">
        <f t="shared" si="175"/>
        <v>5250</v>
      </c>
      <c r="L29" s="425"/>
      <c r="M29" s="425">
        <f>IF(AND(NOT(C28=""),C29=""),SUM($M28:M$28),IF(C29="","",IF(HZ5="Engine",SUM(IE5:IF5),IE5)))</f>
        <v>220400</v>
      </c>
      <c r="N29" s="154"/>
      <c r="O29" s="156" t="str">
        <f t="shared" si="176"/>
        <v/>
      </c>
      <c r="P29" s="154"/>
      <c r="Q29" s="427" t="str">
        <f>IF(AND(NOT(C28=""),C29=""),SUM($Q28:Q$28),IF(C29="","",IF(HZ5="Engine",IE5,"")))</f>
        <v/>
      </c>
      <c r="R29" s="154"/>
      <c r="S29" s="427" t="str">
        <f>IF(AND(NOT(C28=""),C29=""),SUM($S28:S$28),IF(C29="","",IF(HZ5="Engine",IF5,"")))</f>
        <v/>
      </c>
      <c r="U29" s="425" t="str">
        <f t="shared" si="177"/>
        <v/>
      </c>
      <c r="V29" s="425"/>
      <c r="W29" s="425" t="str">
        <f t="shared" si="178"/>
        <v/>
      </c>
      <c r="X29" s="428" t="str">
        <f>IF(AND(NOT(C28=""),C29=""),SUM($X28:X$28),IF(C29="","",IF(HZ5="Engine",-IG5,"")))</f>
        <v/>
      </c>
      <c r="Y29" s="429" t="str">
        <f t="shared" si="179"/>
        <v/>
      </c>
      <c r="Z29" s="30"/>
      <c r="AA29" s="36"/>
      <c r="AC29" s="20">
        <v>3.3</v>
      </c>
      <c r="AD29" s="18">
        <f>AD28-($AD$26-$AD$31)/5</f>
        <v>0.88680000000000014</v>
      </c>
      <c r="AE29" s="18">
        <f>AE28-($AE$26-$AE$31)/5</f>
        <v>1.0589999999999997</v>
      </c>
      <c r="AF29" s="18">
        <f>AF28-($AF$26-$AF$31)/5</f>
        <v>0.88680000000000014</v>
      </c>
      <c r="AG29" s="18">
        <f>AG28-($AG$26-$AG$31)/5</f>
        <v>1.0440000000000003</v>
      </c>
      <c r="AH29" s="50">
        <f t="shared" si="156"/>
        <v>2488649.9999999995</v>
      </c>
      <c r="AI29" s="51">
        <f t="shared" si="157"/>
        <v>83.359200000000016</v>
      </c>
      <c r="AJ29" s="50">
        <f t="shared" si="91"/>
        <v>9046.8282281543416</v>
      </c>
      <c r="AK29" s="50">
        <f t="shared" si="92"/>
        <v>29854.533152909327</v>
      </c>
      <c r="AL29" s="348">
        <f t="shared" si="152"/>
        <v>2576070.0000000005</v>
      </c>
      <c r="AM29" s="354">
        <f t="shared" si="93"/>
        <v>136.76118750000003</v>
      </c>
      <c r="AN29" s="348">
        <f t="shared" si="94"/>
        <v>5707.9591585680901</v>
      </c>
      <c r="AO29" s="348">
        <f t="shared" si="95"/>
        <v>18836.265223274695</v>
      </c>
      <c r="AP29" s="50"/>
      <c r="AQ29" s="349">
        <f t="shared" si="96"/>
        <v>3.3</v>
      </c>
      <c r="AR29" s="50">
        <f t="shared" si="158"/>
        <v>2576070.0000000005</v>
      </c>
      <c r="AS29" s="51">
        <f t="shared" si="159"/>
        <v>136.76118750000003</v>
      </c>
      <c r="AT29" s="348">
        <f t="shared" si="160"/>
        <v>5707.9591585680901</v>
      </c>
      <c r="AU29" s="348">
        <f t="shared" si="161"/>
        <v>18836.265223274695</v>
      </c>
      <c r="AV29" s="350">
        <f t="shared" si="49"/>
        <v>2576070.0000000005</v>
      </c>
      <c r="AW29" s="349">
        <f t="shared" si="162"/>
        <v>136.76118750000003</v>
      </c>
      <c r="AX29" s="348">
        <f t="shared" si="163"/>
        <v>5707.9591585680901</v>
      </c>
      <c r="AY29" s="348">
        <f t="shared" si="164"/>
        <v>18836.265223274695</v>
      </c>
      <c r="AZ29" s="50"/>
      <c r="BA29" s="24" t="str">
        <f t="shared" si="144"/>
        <v/>
      </c>
      <c r="BB29" s="66" t="str">
        <f>IF(VLOOKUP($FW$29,SOURCE!$AH$5:$AJ$50,3,FALSE)="CFM56-5B",SOURCE!BB28,SOURCE!BG28)</f>
        <v/>
      </c>
      <c r="BC29" s="66" t="str">
        <f>IF(VLOOKUP($FW$29,SOURCE!$AH$5:$AJ$50,3,FALSE)="CFM56-5B",SOURCE!BC28,SOURCE!BH28)</f>
        <v/>
      </c>
      <c r="BD29" s="31" t="str">
        <f t="shared" si="97"/>
        <v/>
      </c>
      <c r="BE29" s="13"/>
      <c r="BF29" s="13"/>
      <c r="BG29" s="66" t="str">
        <f t="shared" si="98"/>
        <v/>
      </c>
      <c r="BH29" s="66" t="str">
        <f t="shared" si="99"/>
        <v/>
      </c>
      <c r="BI29" s="66" t="str">
        <f t="shared" si="149"/>
        <v/>
      </c>
      <c r="BJ29" s="13"/>
      <c r="BK29" s="13"/>
      <c r="BL29" s="66" t="str">
        <f t="shared" si="100"/>
        <v/>
      </c>
      <c r="BM29" s="66" t="str">
        <f t="shared" si="101"/>
        <v/>
      </c>
      <c r="BN29" s="66" t="str">
        <f t="shared" si="102"/>
        <v/>
      </c>
      <c r="BO29" s="66" t="str">
        <f t="shared" si="103"/>
        <v/>
      </c>
      <c r="BP29" s="66" t="str">
        <f t="shared" si="53"/>
        <v/>
      </c>
      <c r="BQ29" s="66" t="str">
        <f t="shared" si="104"/>
        <v/>
      </c>
      <c r="BR29" s="66" t="str">
        <f t="shared" si="105"/>
        <v/>
      </c>
      <c r="BS29" s="66" t="str">
        <f t="shared" si="106"/>
        <v/>
      </c>
      <c r="BT29" s="66" t="str">
        <f t="shared" si="54"/>
        <v/>
      </c>
      <c r="BU29" s="66" t="str">
        <f t="shared" si="107"/>
        <v/>
      </c>
      <c r="BV29" s="66" t="str">
        <f t="shared" si="108"/>
        <v/>
      </c>
      <c r="BW29" s="66" t="str">
        <f t="shared" si="55"/>
        <v/>
      </c>
      <c r="BX29" s="66" t="str">
        <f t="shared" si="109"/>
        <v/>
      </c>
      <c r="BY29" s="66" t="str">
        <f t="shared" si="56"/>
        <v/>
      </c>
      <c r="BZ29" s="66" t="str">
        <f t="shared" si="57"/>
        <v/>
      </c>
      <c r="CA29" s="66" t="str">
        <f t="shared" si="110"/>
        <v/>
      </c>
      <c r="CB29" s="66" t="str">
        <f t="shared" si="58"/>
        <v/>
      </c>
      <c r="CC29" s="66" t="str">
        <f t="shared" si="59"/>
        <v/>
      </c>
      <c r="CD29" s="66" t="str">
        <f t="shared" si="145"/>
        <v/>
      </c>
      <c r="CE29" s="66" t="str">
        <f t="shared" si="60"/>
        <v/>
      </c>
      <c r="CF29" s="66" t="str">
        <f t="shared" si="61"/>
        <v/>
      </c>
      <c r="CG29" s="66" t="str">
        <f t="shared" si="111"/>
        <v/>
      </c>
      <c r="CH29" s="66" t="str">
        <f t="shared" si="62"/>
        <v/>
      </c>
      <c r="CI29" s="66" t="str">
        <f t="shared" si="63"/>
        <v/>
      </c>
      <c r="CJ29" s="66" t="str">
        <f t="shared" si="112"/>
        <v/>
      </c>
      <c r="CK29" s="66" t="str">
        <f t="shared" si="113"/>
        <v/>
      </c>
      <c r="CL29" s="66" t="str">
        <f t="shared" si="64"/>
        <v/>
      </c>
      <c r="CM29" s="66" t="str">
        <f t="shared" si="114"/>
        <v/>
      </c>
      <c r="CN29" s="66" t="str">
        <f t="shared" si="115"/>
        <v/>
      </c>
      <c r="CO29" s="66" t="str">
        <f t="shared" si="116"/>
        <v/>
      </c>
      <c r="CP29" s="66" t="str">
        <f t="shared" si="117"/>
        <v/>
      </c>
      <c r="CQ29" s="66" t="str">
        <f t="shared" si="118"/>
        <v/>
      </c>
      <c r="CR29" s="66" t="str">
        <f t="shared" si="119"/>
        <v/>
      </c>
      <c r="CS29" s="66" t="str">
        <f t="shared" si="120"/>
        <v/>
      </c>
      <c r="CT29" s="66" t="str">
        <f t="shared" si="121"/>
        <v/>
      </c>
      <c r="CU29" s="66" t="str">
        <f t="shared" si="122"/>
        <v/>
      </c>
      <c r="CV29" s="66" t="str">
        <f t="shared" si="123"/>
        <v/>
      </c>
      <c r="CW29" s="66" t="str">
        <f t="shared" si="124"/>
        <v/>
      </c>
      <c r="CX29" s="66" t="str">
        <f t="shared" si="125"/>
        <v/>
      </c>
      <c r="CY29" s="66" t="str">
        <f t="shared" si="126"/>
        <v/>
      </c>
      <c r="CZ29" s="66" t="str">
        <f t="shared" si="127"/>
        <v/>
      </c>
      <c r="DA29" s="66" t="str">
        <f t="shared" si="128"/>
        <v/>
      </c>
      <c r="DM29" s="44">
        <f t="shared" si="129"/>
        <v>23</v>
      </c>
      <c r="DN29" s="41">
        <f t="shared" si="65"/>
        <v>12307520</v>
      </c>
      <c r="DO29" s="41">
        <f t="shared" si="130"/>
        <v>124541.17521367522</v>
      </c>
      <c r="DP29" s="42">
        <f t="shared" si="66"/>
        <v>0</v>
      </c>
      <c r="DQ29" s="42">
        <f t="shared" si="67"/>
        <v>0</v>
      </c>
      <c r="DR29" s="42">
        <f t="shared" si="68"/>
        <v>0</v>
      </c>
      <c r="DS29" s="42">
        <f t="shared" si="69"/>
        <v>0</v>
      </c>
      <c r="DT29" s="42">
        <f t="shared" si="70"/>
        <v>0</v>
      </c>
      <c r="DU29" s="42">
        <f t="shared" si="71"/>
        <v>0</v>
      </c>
      <c r="DV29" s="42">
        <f t="shared" si="72"/>
        <v>0</v>
      </c>
      <c r="DW29" s="42">
        <f t="shared" si="73"/>
        <v>0</v>
      </c>
      <c r="DX29" s="42">
        <f t="shared" si="74"/>
        <v>2644047.0299145281</v>
      </c>
      <c r="DY29" s="42">
        <f>IF(DM29="",DY28,DN29-SUM($DO$6:DO29)+SUM($DP$6:DV29)-SUM($DW$6:DW29))</f>
        <v>9663472.9700854719</v>
      </c>
      <c r="DZ29" s="43">
        <f t="shared" si="131"/>
        <v>0.78516817117384108</v>
      </c>
      <c r="EA29" s="43"/>
      <c r="EB29" s="43" t="str">
        <f t="shared" si="146"/>
        <v>False</v>
      </c>
      <c r="EC29" s="41">
        <f t="shared" si="132"/>
        <v>220400</v>
      </c>
      <c r="ED29" s="41">
        <f t="shared" si="133"/>
        <v>606690</v>
      </c>
      <c r="EE29" s="41">
        <f t="shared" si="75"/>
        <v>902280</v>
      </c>
      <c r="EF29" s="41">
        <f t="shared" si="147"/>
        <v>12244.444444444445</v>
      </c>
      <c r="EG29" s="42">
        <f t="shared" si="134"/>
        <v>8426.25</v>
      </c>
      <c r="EH29" s="42">
        <f t="shared" si="135"/>
        <v>6265.8333333333321</v>
      </c>
      <c r="EI29" s="42">
        <f t="shared" si="76"/>
        <v>61222</v>
      </c>
      <c r="EJ29" s="42">
        <f t="shared" si="136"/>
        <v>193804</v>
      </c>
      <c r="EK29" s="42">
        <f t="shared" si="77"/>
        <v>144114</v>
      </c>
      <c r="EL29" s="42">
        <f>IF(DM29="","",EC29-SUM($EF$6:EF29)+SUM($DP$6:DP29))</f>
        <v>159177.77777777781</v>
      </c>
      <c r="EM29" s="42">
        <f>IF(DM29="","",ED29-SUM($EG$6:EG29)+SUM($DQ$6:DQ29))</f>
        <v>412886.25</v>
      </c>
      <c r="EN29" s="42">
        <f>IF(DM29="","",EE29-SUM($EH$6:EH29)+SUM($DR$6:DR29))</f>
        <v>758165.83333333337</v>
      </c>
      <c r="EO29" s="152">
        <f t="shared" si="148"/>
        <v>0.769199107831818</v>
      </c>
      <c r="EP29" s="43"/>
      <c r="EQ29" s="42">
        <f t="shared" si="78"/>
        <v>448050</v>
      </c>
      <c r="ER29" s="42">
        <f t="shared" si="79"/>
        <v>248100</v>
      </c>
      <c r="ES29" s="42">
        <f t="shared" si="137"/>
        <v>3733.75</v>
      </c>
      <c r="ET29" s="42">
        <f t="shared" si="138"/>
        <v>6122.9807692307695</v>
      </c>
      <c r="EU29" s="42">
        <f t="shared" si="80"/>
        <v>85876</v>
      </c>
      <c r="EV29" s="42">
        <f t="shared" si="81"/>
        <v>140829</v>
      </c>
      <c r="EW29" s="42">
        <f>IF(DM29="","",IF(DS29&gt;0,DS29,EQ29-SUM($ES$6:ES29)+SUM($DS$6:DS29)))</f>
        <v>362173.75</v>
      </c>
      <c r="EX29" s="42">
        <f>IF(DM29="","",IF(DT29&gt;0,DT29,ER29-SUM($ET$6:ET29)+SUM($DT$6:DT29)))</f>
        <v>107271.44230769234</v>
      </c>
      <c r="EY29" s="43">
        <f t="shared" si="82"/>
        <v>0.432371794871795</v>
      </c>
      <c r="EZ29" s="43">
        <f t="shared" si="83"/>
        <v>0.80833333333333335</v>
      </c>
      <c r="FA29" s="43"/>
      <c r="FB29" s="42">
        <f t="shared" si="84"/>
        <v>4700000</v>
      </c>
      <c r="FC29" s="42">
        <f t="shared" si="85"/>
        <v>5182000</v>
      </c>
      <c r="FD29" s="41">
        <f t="shared" si="139"/>
        <v>54833.333333333336</v>
      </c>
      <c r="FE29" s="41">
        <f t="shared" si="140"/>
        <v>32914.583333333336</v>
      </c>
      <c r="FF29" s="42">
        <f t="shared" si="86"/>
        <v>1261167</v>
      </c>
      <c r="FG29" s="42">
        <f t="shared" si="87"/>
        <v>757035</v>
      </c>
      <c r="FH29" s="42">
        <f>IF(DM29="","",IF(DU29&gt;0,DU29,FB29-SUM($FD$6:FD29)+SUM($DU$6:DU29)))</f>
        <v>3438833.333333333</v>
      </c>
      <c r="FI29" s="42">
        <f>IF(DM29="","",FC29-SUM($FE$6:FE29)+SUM($DV$6:DV29)-SUM($DW$6:DW29))</f>
        <v>4424964.583333333</v>
      </c>
      <c r="FJ29" s="152">
        <f t="shared" si="88"/>
        <v>0.79576987620589623</v>
      </c>
      <c r="FL29" s="23"/>
      <c r="FP29" s="8"/>
      <c r="FQ29" s="8"/>
      <c r="FR29" s="27">
        <v>3.3</v>
      </c>
      <c r="FS29" s="21"/>
      <c r="FT29" s="21"/>
      <c r="FU29" s="473" t="s">
        <v>373</v>
      </c>
      <c r="FV29" s="462"/>
      <c r="FW29" s="473" t="s">
        <v>393</v>
      </c>
      <c r="GC29" s="68">
        <f t="shared" si="26"/>
        <v>24</v>
      </c>
      <c r="GD29" s="78">
        <f t="shared" si="27"/>
        <v>0</v>
      </c>
      <c r="GE29" s="309">
        <f t="shared" si="28"/>
        <v>0.77504905902015975</v>
      </c>
      <c r="GF29" s="78">
        <f t="shared" si="29"/>
        <v>0</v>
      </c>
      <c r="GG29" s="310">
        <f t="shared" si="30"/>
        <v>0.75362318840579723</v>
      </c>
      <c r="GH29" s="78">
        <f t="shared" si="31"/>
        <v>0</v>
      </c>
      <c r="GI29" s="310">
        <f t="shared" si="32"/>
        <v>0.8</v>
      </c>
      <c r="GJ29" s="311">
        <f t="shared" si="33"/>
        <v>0</v>
      </c>
      <c r="GK29" s="310">
        <f t="shared" si="34"/>
        <v>0.4076923076923078</v>
      </c>
      <c r="GL29" s="311">
        <f t="shared" si="35"/>
        <v>0</v>
      </c>
      <c r="GM29" s="310">
        <f t="shared" si="36"/>
        <v>0.78689030560615258</v>
      </c>
      <c r="GO29" s="266" t="s">
        <v>66</v>
      </c>
      <c r="GP29" s="266" t="s">
        <v>275</v>
      </c>
      <c r="GQ29" s="14" t="str">
        <f>IF(GS29="","",COUNT($GS$4:GS29))</f>
        <v/>
      </c>
      <c r="GR29" s="24" t="str">
        <f t="shared" si="166"/>
        <v/>
      </c>
      <c r="GS29" s="14" t="str">
        <f t="shared" si="168"/>
        <v/>
      </c>
      <c r="GU29" s="19" t="str">
        <f t="shared" si="167"/>
        <v/>
      </c>
      <c r="GV29" s="264"/>
      <c r="GW29" s="264"/>
      <c r="GX29" s="13"/>
      <c r="GY29" s="14"/>
      <c r="GZ29" s="13"/>
      <c r="HA29" s="14" t="str">
        <f>IF(HC29="","",_xlfn.RANK.EQ(HC29,$HC$4:$HC$44,1)+COUNTIF($HC$4:$HC$44,HC29)-COUNTIF($HC$4:HC29,HC29))</f>
        <v/>
      </c>
      <c r="HB29" s="24" t="str">
        <f t="shared" si="39"/>
        <v/>
      </c>
      <c r="HC29" s="14" t="str">
        <f t="shared" si="0"/>
        <v/>
      </c>
      <c r="HD29" s="24" t="str">
        <f t="shared" si="40"/>
        <v/>
      </c>
      <c r="HE29" s="13" t="str">
        <f t="shared" si="1"/>
        <v/>
      </c>
      <c r="HF29" s="13" t="str">
        <f t="shared" si="169"/>
        <v/>
      </c>
      <c r="HG29" s="13"/>
      <c r="HH29" s="24" t="str">
        <f t="shared" si="3"/>
        <v/>
      </c>
      <c r="HI29" s="66" t="str">
        <f t="shared" si="4"/>
        <v/>
      </c>
      <c r="HJ29" s="82" t="str">
        <f t="shared" si="5"/>
        <v/>
      </c>
      <c r="HK29" s="66" t="str">
        <f t="shared" si="6"/>
        <v/>
      </c>
      <c r="HL29" s="66" t="str">
        <f t="shared" si="7"/>
        <v/>
      </c>
      <c r="HM29" s="66" t="str">
        <f t="shared" si="8"/>
        <v/>
      </c>
      <c r="HN29" s="24" t="str">
        <f t="shared" si="170"/>
        <v/>
      </c>
      <c r="HO29" s="14" t="str">
        <f t="shared" si="9"/>
        <v/>
      </c>
      <c r="HP29" s="24" t="str">
        <f t="shared" si="10"/>
        <v/>
      </c>
      <c r="HQ29" s="24" t="str">
        <f t="shared" si="11"/>
        <v/>
      </c>
      <c r="HR29" s="13" t="str">
        <f t="shared" si="171"/>
        <v/>
      </c>
      <c r="HT29" s="13" t="str">
        <f t="shared" si="12"/>
        <v/>
      </c>
      <c r="HU29" s="75" t="str">
        <f t="shared" si="13"/>
        <v/>
      </c>
      <c r="HV29" s="75" t="str">
        <f t="shared" si="42"/>
        <v/>
      </c>
      <c r="HW29" s="75" t="str">
        <f t="shared" si="14"/>
        <v/>
      </c>
      <c r="HX29" s="75" t="str">
        <f t="shared" si="15"/>
        <v/>
      </c>
      <c r="HY29" s="66" t="str">
        <f t="shared" si="16"/>
        <v/>
      </c>
      <c r="HZ29" s="151" t="str">
        <f t="shared" si="17"/>
        <v/>
      </c>
      <c r="IA29" s="151" t="str">
        <f t="shared" si="18"/>
        <v/>
      </c>
      <c r="IB29" s="151"/>
      <c r="IC29" s="149" t="str">
        <f t="shared" si="19"/>
        <v/>
      </c>
      <c r="ID29" s="151" t="str">
        <f t="shared" si="20"/>
        <v/>
      </c>
      <c r="IE29" s="33" t="str">
        <f t="shared" si="21"/>
        <v/>
      </c>
      <c r="IF29" s="33" t="str">
        <f t="shared" si="22"/>
        <v/>
      </c>
      <c r="IG29" s="33" t="str">
        <f t="shared" si="23"/>
        <v/>
      </c>
      <c r="IH29" s="33" t="str">
        <f t="shared" si="24"/>
        <v/>
      </c>
      <c r="II29" s="33" t="str">
        <f t="shared" si="25"/>
        <v/>
      </c>
      <c r="IM29" s="13"/>
      <c r="IN29" s="13"/>
      <c r="IO29" s="13"/>
      <c r="IP29" s="13"/>
      <c r="IQ29" s="13"/>
    </row>
    <row r="30" spans="1:251" x14ac:dyDescent="0.2">
      <c r="A30" s="9"/>
      <c r="B30" s="423"/>
      <c r="C30" s="154" t="str">
        <f t="shared" si="180"/>
        <v>3       Airframe  3C-Check</v>
      </c>
      <c r="D30" s="154"/>
      <c r="E30" s="424"/>
      <c r="F30" s="424"/>
      <c r="G30" s="425">
        <f t="shared" si="172"/>
        <v>54</v>
      </c>
      <c r="H30" s="425"/>
      <c r="I30" s="426">
        <f t="shared" si="173"/>
        <v>42917</v>
      </c>
      <c r="J30" s="425">
        <f t="shared" si="174"/>
        <v>15750.000000000002</v>
      </c>
      <c r="K30" s="425">
        <f t="shared" si="175"/>
        <v>7875.0000000000009</v>
      </c>
      <c r="L30" s="425"/>
      <c r="M30" s="425">
        <f>IF(AND(NOT(C29=""),C30=""),SUM($M$28:M29),IF(C30="","",IF(HZ6="Engine",SUM(IE6:IF6),IE6)))</f>
        <v>185400</v>
      </c>
      <c r="N30" s="154"/>
      <c r="O30" s="156" t="str">
        <f t="shared" si="176"/>
        <v/>
      </c>
      <c r="Q30" s="427" t="str">
        <f>IF(AND(NOT(C29=""),C30=""),SUM($Q$28:Q29),IF(C30="","",IF(HZ6="Engine",IE6,"")))</f>
        <v/>
      </c>
      <c r="R30" s="154"/>
      <c r="S30" s="427" t="str">
        <f>IF(AND(NOT(C29=""),C30=""),SUM($S$28:S29),IF(C30="","",IF(HZ6="Engine",IF6,"")))</f>
        <v/>
      </c>
      <c r="U30" s="425" t="str">
        <f t="shared" si="177"/>
        <v/>
      </c>
      <c r="V30" s="425"/>
      <c r="W30" s="425" t="str">
        <f t="shared" si="178"/>
        <v/>
      </c>
      <c r="X30" s="428" t="str">
        <f>IF(AND(NOT(C29=""),C30=""),SUM($X$28:X29),IF(C30="","",IF(HZ6="Engine",-IG6,"")))</f>
        <v/>
      </c>
      <c r="Y30" s="429" t="str">
        <f t="shared" si="179"/>
        <v/>
      </c>
      <c r="Z30" s="26"/>
      <c r="AC30" s="20">
        <v>3.4</v>
      </c>
      <c r="AD30" s="18">
        <f>AD29-($AD$26-$AD$31)/5</f>
        <v>0.88140000000000018</v>
      </c>
      <c r="AE30" s="18">
        <f>AE29-($AE$26-$AE$31)/5</f>
        <v>1.0619999999999996</v>
      </c>
      <c r="AF30" s="18">
        <f>AF29-($AF$26-$AF$31)/5</f>
        <v>0.88140000000000018</v>
      </c>
      <c r="AG30" s="18">
        <f>AG29-($AG$26-$AG$31)/5</f>
        <v>1.0470000000000004</v>
      </c>
      <c r="AH30" s="50">
        <f t="shared" si="156"/>
        <v>2495699.9999999991</v>
      </c>
      <c r="AI30" s="51">
        <f t="shared" si="157"/>
        <v>82.851600000000019</v>
      </c>
      <c r="AJ30" s="50">
        <f t="shared" si="91"/>
        <v>8859.5683338004983</v>
      </c>
      <c r="AK30" s="50">
        <f t="shared" si="92"/>
        <v>30122.532334921696</v>
      </c>
      <c r="AL30" s="348">
        <f t="shared" si="152"/>
        <v>2583472.5000000009</v>
      </c>
      <c r="AM30" s="354">
        <f t="shared" si="93"/>
        <v>135.92840625000002</v>
      </c>
      <c r="AN30" s="348">
        <f t="shared" si="94"/>
        <v>5590.037240219438</v>
      </c>
      <c r="AO30" s="348">
        <f t="shared" si="95"/>
        <v>19006.126616746089</v>
      </c>
      <c r="AP30" s="50"/>
      <c r="AQ30" s="349">
        <f t="shared" si="96"/>
        <v>3.4</v>
      </c>
      <c r="AR30" s="50">
        <f t="shared" si="158"/>
        <v>2583472.5000000009</v>
      </c>
      <c r="AS30" s="51">
        <f t="shared" si="159"/>
        <v>135.92840625000002</v>
      </c>
      <c r="AT30" s="348">
        <f t="shared" si="160"/>
        <v>5590.037240219438</v>
      </c>
      <c r="AU30" s="348">
        <f t="shared" si="161"/>
        <v>19006.126616746089</v>
      </c>
      <c r="AV30" s="350">
        <f t="shared" si="49"/>
        <v>2583472.5000000009</v>
      </c>
      <c r="AW30" s="349">
        <f t="shared" si="162"/>
        <v>135.92840625000002</v>
      </c>
      <c r="AX30" s="348">
        <f t="shared" si="163"/>
        <v>5590.037240219438</v>
      </c>
      <c r="AY30" s="348">
        <f t="shared" si="164"/>
        <v>19006.126616746089</v>
      </c>
      <c r="AZ30" s="50"/>
      <c r="BA30" s="24" t="str">
        <f t="shared" si="144"/>
        <v/>
      </c>
      <c r="BB30" s="66" t="str">
        <f>IF(VLOOKUP($FW$29,SOURCE!$AH$5:$AJ$50,3,FALSE)="CFM56-5B",SOURCE!BB29,SOURCE!BG29)</f>
        <v/>
      </c>
      <c r="BC30" s="66" t="str">
        <f>IF(VLOOKUP($FW$29,SOURCE!$AH$5:$AJ$50,3,FALSE)="CFM56-5B",SOURCE!BC29,SOURCE!BH29)</f>
        <v/>
      </c>
      <c r="BD30" s="31" t="str">
        <f t="shared" si="97"/>
        <v/>
      </c>
      <c r="BE30" s="13"/>
      <c r="BF30" s="13"/>
      <c r="BG30" s="66" t="str">
        <f t="shared" si="98"/>
        <v/>
      </c>
      <c r="BH30" s="66" t="str">
        <f t="shared" si="99"/>
        <v/>
      </c>
      <c r="BI30" s="66" t="str">
        <f t="shared" si="149"/>
        <v/>
      </c>
      <c r="BJ30" s="13"/>
      <c r="BK30" s="13"/>
      <c r="BL30" s="66" t="str">
        <f t="shared" si="100"/>
        <v/>
      </c>
      <c r="BM30" s="66" t="str">
        <f t="shared" si="101"/>
        <v/>
      </c>
      <c r="BN30" s="66" t="str">
        <f t="shared" si="102"/>
        <v/>
      </c>
      <c r="BO30" s="66" t="str">
        <f t="shared" si="103"/>
        <v/>
      </c>
      <c r="BP30" s="66" t="str">
        <f t="shared" si="53"/>
        <v/>
      </c>
      <c r="BQ30" s="66" t="str">
        <f t="shared" si="104"/>
        <v/>
      </c>
      <c r="BR30" s="66" t="str">
        <f t="shared" si="105"/>
        <v/>
      </c>
      <c r="BS30" s="66" t="str">
        <f t="shared" si="106"/>
        <v/>
      </c>
      <c r="BT30" s="66" t="str">
        <f t="shared" si="54"/>
        <v/>
      </c>
      <c r="BU30" s="66" t="str">
        <f t="shared" si="107"/>
        <v/>
      </c>
      <c r="BV30" s="66" t="str">
        <f t="shared" si="108"/>
        <v/>
      </c>
      <c r="BW30" s="66" t="str">
        <f t="shared" si="55"/>
        <v/>
      </c>
      <c r="BX30" s="66" t="str">
        <f t="shared" si="109"/>
        <v/>
      </c>
      <c r="BY30" s="66" t="str">
        <f t="shared" si="56"/>
        <v/>
      </c>
      <c r="BZ30" s="66" t="str">
        <f t="shared" si="57"/>
        <v/>
      </c>
      <c r="CA30" s="66" t="str">
        <f t="shared" si="110"/>
        <v/>
      </c>
      <c r="CB30" s="66" t="str">
        <f t="shared" si="58"/>
        <v/>
      </c>
      <c r="CC30" s="66" t="str">
        <f t="shared" si="59"/>
        <v/>
      </c>
      <c r="CD30" s="66" t="str">
        <f t="shared" si="145"/>
        <v/>
      </c>
      <c r="CE30" s="66" t="str">
        <f t="shared" si="60"/>
        <v/>
      </c>
      <c r="CF30" s="66" t="str">
        <f t="shared" si="61"/>
        <v/>
      </c>
      <c r="CG30" s="66" t="str">
        <f t="shared" si="111"/>
        <v/>
      </c>
      <c r="CH30" s="66" t="str">
        <f t="shared" si="62"/>
        <v/>
      </c>
      <c r="CI30" s="66" t="str">
        <f t="shared" si="63"/>
        <v/>
      </c>
      <c r="CJ30" s="66" t="str">
        <f t="shared" si="112"/>
        <v/>
      </c>
      <c r="CK30" s="66" t="str">
        <f t="shared" si="113"/>
        <v/>
      </c>
      <c r="CL30" s="66" t="str">
        <f t="shared" si="64"/>
        <v/>
      </c>
      <c r="CM30" s="66" t="str">
        <f t="shared" si="114"/>
        <v/>
      </c>
      <c r="CN30" s="66" t="str">
        <f t="shared" si="115"/>
        <v/>
      </c>
      <c r="CO30" s="66" t="str">
        <f t="shared" si="116"/>
        <v/>
      </c>
      <c r="CP30" s="66" t="str">
        <f t="shared" si="117"/>
        <v/>
      </c>
      <c r="CQ30" s="66" t="str">
        <f t="shared" si="118"/>
        <v/>
      </c>
      <c r="CR30" s="66" t="str">
        <f t="shared" si="119"/>
        <v/>
      </c>
      <c r="CS30" s="66" t="str">
        <f t="shared" si="120"/>
        <v/>
      </c>
      <c r="CT30" s="66" t="str">
        <f t="shared" si="121"/>
        <v/>
      </c>
      <c r="CU30" s="66" t="str">
        <f t="shared" si="122"/>
        <v/>
      </c>
      <c r="CV30" s="66" t="str">
        <f t="shared" si="123"/>
        <v/>
      </c>
      <c r="CW30" s="66" t="str">
        <f t="shared" si="124"/>
        <v/>
      </c>
      <c r="CX30" s="66" t="str">
        <f t="shared" si="125"/>
        <v/>
      </c>
      <c r="CY30" s="66" t="str">
        <f t="shared" si="126"/>
        <v/>
      </c>
      <c r="CZ30" s="66" t="str">
        <f t="shared" si="127"/>
        <v/>
      </c>
      <c r="DA30" s="66" t="str">
        <f t="shared" si="128"/>
        <v/>
      </c>
      <c r="DM30" s="44">
        <f t="shared" si="129"/>
        <v>24</v>
      </c>
      <c r="DN30" s="41">
        <f t="shared" si="65"/>
        <v>12307520</v>
      </c>
      <c r="DO30" s="41">
        <f t="shared" si="130"/>
        <v>124541.17521367522</v>
      </c>
      <c r="DP30" s="42">
        <f t="shared" si="66"/>
        <v>0</v>
      </c>
      <c r="DQ30" s="42">
        <f t="shared" si="67"/>
        <v>0</v>
      </c>
      <c r="DR30" s="42">
        <f t="shared" si="68"/>
        <v>0</v>
      </c>
      <c r="DS30" s="42">
        <f t="shared" si="69"/>
        <v>0</v>
      </c>
      <c r="DT30" s="42">
        <f t="shared" si="70"/>
        <v>0</v>
      </c>
      <c r="DU30" s="42">
        <f t="shared" si="71"/>
        <v>0</v>
      </c>
      <c r="DV30" s="42">
        <f t="shared" si="72"/>
        <v>0</v>
      </c>
      <c r="DW30" s="42">
        <f t="shared" si="73"/>
        <v>0</v>
      </c>
      <c r="DX30" s="42">
        <f t="shared" si="74"/>
        <v>2768588.2051282041</v>
      </c>
      <c r="DY30" s="42">
        <f>IF(DM30="",DY29,DN30-SUM($DO$6:DO30)+SUM($DP$6:DV30)-SUM($DW$6:DW30))</f>
        <v>9538931.7948717959</v>
      </c>
      <c r="DZ30" s="43">
        <f t="shared" si="131"/>
        <v>0.77504905902015975</v>
      </c>
      <c r="EA30" s="43"/>
      <c r="EB30" s="43" t="str">
        <f t="shared" si="146"/>
        <v>False</v>
      </c>
      <c r="EC30" s="41">
        <f t="shared" si="132"/>
        <v>220400</v>
      </c>
      <c r="ED30" s="41">
        <f t="shared" si="133"/>
        <v>606690</v>
      </c>
      <c r="EE30" s="41">
        <f t="shared" si="75"/>
        <v>902280</v>
      </c>
      <c r="EF30" s="41">
        <f t="shared" si="147"/>
        <v>12244.444444444445</v>
      </c>
      <c r="EG30" s="42">
        <f t="shared" si="134"/>
        <v>8426.25</v>
      </c>
      <c r="EH30" s="42">
        <f t="shared" si="135"/>
        <v>6265.8333333333321</v>
      </c>
      <c r="EI30" s="42">
        <f t="shared" si="76"/>
        <v>73467</v>
      </c>
      <c r="EJ30" s="42">
        <f t="shared" si="136"/>
        <v>202230</v>
      </c>
      <c r="EK30" s="42">
        <f t="shared" si="77"/>
        <v>150380</v>
      </c>
      <c r="EL30" s="42">
        <f>IF(DM30="","",EC30-SUM($EF$6:EF30)+SUM($DP$6:DP30))</f>
        <v>146933.33333333337</v>
      </c>
      <c r="EM30" s="42">
        <f>IF(DM30="","",ED30-SUM($EG$6:EG30)+SUM($DQ$6:DQ30))</f>
        <v>404460</v>
      </c>
      <c r="EN30" s="42">
        <f>IF(DM30="","",EE30-SUM($EH$6:EH30)+SUM($DR$6:DR30))</f>
        <v>751900</v>
      </c>
      <c r="EO30" s="152">
        <f t="shared" si="148"/>
        <v>0.75362318840579723</v>
      </c>
      <c r="EP30" s="43"/>
      <c r="EQ30" s="42">
        <f t="shared" si="78"/>
        <v>448050</v>
      </c>
      <c r="ER30" s="42">
        <f t="shared" si="79"/>
        <v>248100</v>
      </c>
      <c r="ES30" s="42">
        <f t="shared" si="137"/>
        <v>3733.75</v>
      </c>
      <c r="ET30" s="42">
        <f t="shared" si="138"/>
        <v>6122.9807692307695</v>
      </c>
      <c r="EU30" s="42">
        <f t="shared" si="80"/>
        <v>89610</v>
      </c>
      <c r="EV30" s="42">
        <f t="shared" si="81"/>
        <v>146952</v>
      </c>
      <c r="EW30" s="42">
        <f>IF(DM30="","",IF(DS30&gt;0,DS30,EQ30-SUM($ES$6:ES30)+SUM($DS$6:DS30)))</f>
        <v>358440</v>
      </c>
      <c r="EX30" s="42">
        <f>IF(DM30="","",IF(DT30&gt;0,DT30,ER30-SUM($ET$6:ET30)+SUM($DT$6:DT30)))</f>
        <v>101148.46153846156</v>
      </c>
      <c r="EY30" s="43">
        <f t="shared" si="82"/>
        <v>0.4076923076923078</v>
      </c>
      <c r="EZ30" s="43">
        <f t="shared" si="83"/>
        <v>0.8</v>
      </c>
      <c r="FA30" s="43"/>
      <c r="FB30" s="42">
        <f t="shared" si="84"/>
        <v>4700000</v>
      </c>
      <c r="FC30" s="42">
        <f t="shared" si="85"/>
        <v>5182000</v>
      </c>
      <c r="FD30" s="41">
        <f t="shared" si="139"/>
        <v>54833.333333333336</v>
      </c>
      <c r="FE30" s="41">
        <f t="shared" si="140"/>
        <v>32914.583333333336</v>
      </c>
      <c r="FF30" s="42">
        <f t="shared" si="86"/>
        <v>1316000</v>
      </c>
      <c r="FG30" s="42">
        <f t="shared" si="87"/>
        <v>789950</v>
      </c>
      <c r="FH30" s="42">
        <f>IF(DM30="","",IF(DU30&gt;0,DU30,FB30-SUM($FD$6:FD30)+SUM($DU$6:DU30)))</f>
        <v>3384000</v>
      </c>
      <c r="FI30" s="42">
        <f>IF(DM30="","",FC30-SUM($FE$6:FE30)+SUM($DV$6:DV30)-SUM($DW$6:DW30))</f>
        <v>4392050</v>
      </c>
      <c r="FJ30" s="152">
        <f t="shared" si="88"/>
        <v>0.78689030560615258</v>
      </c>
      <c r="FL30" s="23"/>
      <c r="FP30" s="8"/>
      <c r="FQ30" s="8"/>
      <c r="FR30" s="27">
        <v>3.4</v>
      </c>
      <c r="FS30" s="21"/>
      <c r="FT30" s="21"/>
      <c r="FU30" s="21"/>
      <c r="GC30" s="68">
        <f t="shared" si="26"/>
        <v>25</v>
      </c>
      <c r="GD30" s="78">
        <f t="shared" si="27"/>
        <v>0</v>
      </c>
      <c r="GE30" s="309">
        <f t="shared" si="28"/>
        <v>0.76492994686647842</v>
      </c>
      <c r="GF30" s="78">
        <f t="shared" si="29"/>
        <v>0</v>
      </c>
      <c r="GG30" s="310">
        <f t="shared" si="30"/>
        <v>0.73804726897977635</v>
      </c>
      <c r="GH30" s="78">
        <f t="shared" si="31"/>
        <v>0</v>
      </c>
      <c r="GI30" s="310">
        <f t="shared" si="32"/>
        <v>0.79166666666666663</v>
      </c>
      <c r="GJ30" s="311">
        <f t="shared" si="33"/>
        <v>0</v>
      </c>
      <c r="GK30" s="310">
        <f t="shared" si="34"/>
        <v>0.38301282051282054</v>
      </c>
      <c r="GL30" s="311">
        <f t="shared" si="35"/>
        <v>0</v>
      </c>
      <c r="GM30" s="310">
        <f t="shared" si="36"/>
        <v>0.77801073500640894</v>
      </c>
      <c r="GO30" s="266" t="s">
        <v>4</v>
      </c>
      <c r="GP30" s="266" t="s">
        <v>276</v>
      </c>
      <c r="GQ30" s="14">
        <f>IF(GS30="","",COUNT($GS$4:GS30))</f>
        <v>19</v>
      </c>
      <c r="GR30" s="24" t="str">
        <f>IF(GQ30="","",GP30)</f>
        <v>SV (2 Each)</v>
      </c>
      <c r="GS30" s="134">
        <f>IF(ROUND(BE6/GA5,0)&gt;=$FW$23,"",INT(BE6/GA5))</f>
        <v>85</v>
      </c>
      <c r="GT30" s="66" t="str">
        <f>IF(GS30="","",BH32)</f>
        <v>PR</v>
      </c>
      <c r="GU30" s="66">
        <f>IF(GS30="","",2*BG32)</f>
        <v>4700000</v>
      </c>
      <c r="GV30" s="265">
        <f>IF(GS30="","",2*BG31)</f>
        <v>2607280</v>
      </c>
      <c r="GW30" s="265">
        <f>IF($GS30="","",2*BH31)</f>
        <v>977850</v>
      </c>
      <c r="GX30" s="265">
        <f>IF(GS30="","",DG12)</f>
        <v>25000</v>
      </c>
      <c r="GY30" s="66">
        <f>IF(GS30="","",DH12)</f>
        <v>12500</v>
      </c>
      <c r="GZ30" s="134">
        <f>IF(GS30="","",BE6/GA5)</f>
        <v>85.714285714285708</v>
      </c>
      <c r="HA30" s="14" t="str">
        <f>IF(HC30="","",_xlfn.RANK.EQ(HC30,$HC$4:$HC$44,1)+COUNTIF($HC$4:$HC$44,HC30)-COUNTIF($HC$4:HC30,HC30))</f>
        <v/>
      </c>
      <c r="HB30" s="24" t="str">
        <f t="shared" si="39"/>
        <v/>
      </c>
      <c r="HC30" s="14" t="str">
        <f t="shared" si="0"/>
        <v/>
      </c>
      <c r="HD30" s="24" t="str">
        <f t="shared" si="40"/>
        <v/>
      </c>
      <c r="HE30" s="13" t="str">
        <f t="shared" si="1"/>
        <v/>
      </c>
      <c r="HF30" s="13" t="str">
        <f t="shared" si="169"/>
        <v/>
      </c>
      <c r="HG30" s="13"/>
      <c r="HH30" s="24" t="str">
        <f t="shared" si="3"/>
        <v/>
      </c>
      <c r="HI30" s="66" t="str">
        <f t="shared" si="4"/>
        <v/>
      </c>
      <c r="HJ30" s="82" t="str">
        <f t="shared" si="5"/>
        <v/>
      </c>
      <c r="HK30" s="66" t="str">
        <f t="shared" si="6"/>
        <v/>
      </c>
      <c r="HL30" s="66" t="str">
        <f t="shared" si="7"/>
        <v/>
      </c>
      <c r="HM30" s="66" t="str">
        <f t="shared" si="8"/>
        <v/>
      </c>
      <c r="HN30" s="24" t="str">
        <f t="shared" si="170"/>
        <v/>
      </c>
      <c r="HO30" s="14" t="str">
        <f t="shared" si="9"/>
        <v/>
      </c>
      <c r="HP30" s="24" t="str">
        <f t="shared" si="10"/>
        <v/>
      </c>
      <c r="HQ30" s="24" t="str">
        <f t="shared" si="11"/>
        <v/>
      </c>
      <c r="HR30" s="13" t="str">
        <f t="shared" si="171"/>
        <v/>
      </c>
      <c r="HT30" s="13" t="str">
        <f t="shared" si="12"/>
        <v/>
      </c>
      <c r="HU30" s="75" t="str">
        <f t="shared" si="13"/>
        <v/>
      </c>
      <c r="HV30" s="75" t="str">
        <f t="shared" si="42"/>
        <v/>
      </c>
      <c r="HW30" s="75" t="str">
        <f t="shared" si="14"/>
        <v/>
      </c>
      <c r="HX30" s="75" t="str">
        <f t="shared" si="15"/>
        <v/>
      </c>
      <c r="HY30" s="66" t="str">
        <f t="shared" si="16"/>
        <v/>
      </c>
      <c r="HZ30" s="151" t="str">
        <f t="shared" si="17"/>
        <v/>
      </c>
      <c r="IA30" s="151" t="str">
        <f t="shared" si="18"/>
        <v/>
      </c>
      <c r="IB30" s="151"/>
      <c r="IC30" s="149" t="str">
        <f t="shared" si="19"/>
        <v/>
      </c>
      <c r="ID30" s="151" t="str">
        <f t="shared" si="20"/>
        <v/>
      </c>
      <c r="IE30" s="33" t="str">
        <f t="shared" si="21"/>
        <v/>
      </c>
      <c r="IF30" s="33" t="str">
        <f t="shared" si="22"/>
        <v/>
      </c>
      <c r="IG30" s="33" t="str">
        <f t="shared" si="23"/>
        <v/>
      </c>
      <c r="IH30" s="33" t="str">
        <f t="shared" si="24"/>
        <v/>
      </c>
      <c r="II30" s="33" t="str">
        <f t="shared" si="25"/>
        <v/>
      </c>
      <c r="IM30" s="13"/>
      <c r="IN30" s="13"/>
      <c r="IO30" s="13"/>
      <c r="IP30" s="13"/>
      <c r="IQ30" s="13"/>
    </row>
    <row r="31" spans="1:251" x14ac:dyDescent="0.2">
      <c r="A31" s="9"/>
      <c r="B31" s="423"/>
      <c r="C31" s="154" t="str">
        <f t="shared" si="180"/>
        <v>4       Airframe  4C-Check</v>
      </c>
      <c r="D31" s="154"/>
      <c r="E31" s="424"/>
      <c r="F31" s="424"/>
      <c r="G31" s="425">
        <f t="shared" si="172"/>
        <v>72</v>
      </c>
      <c r="H31" s="425"/>
      <c r="I31" s="426">
        <f t="shared" si="173"/>
        <v>43466</v>
      </c>
      <c r="J31" s="425">
        <f t="shared" si="174"/>
        <v>21000</v>
      </c>
      <c r="K31" s="425">
        <f t="shared" si="175"/>
        <v>10500</v>
      </c>
      <c r="L31" s="425"/>
      <c r="M31" s="425">
        <f>IF(AND(NOT(C30=""),C31=""),SUM($M$28:M30),IF(C31="","",IF(HZ7="Engine",SUM(IE7:IF7),IE7)))</f>
        <v>220400</v>
      </c>
      <c r="N31" s="154"/>
      <c r="O31" s="156" t="str">
        <f t="shared" si="176"/>
        <v/>
      </c>
      <c r="Q31" s="427" t="str">
        <f>IF(AND(NOT(C30=""),C31=""),SUM($Q$28:Q30),IF(C31="","",IF(HZ7="Engine",IE7,"")))</f>
        <v/>
      </c>
      <c r="R31" s="154"/>
      <c r="S31" s="427" t="str">
        <f>IF(AND(NOT(C30=""),C31=""),SUM($S$28:S30),IF(C31="","",IF(HZ7="Engine",IF7,"")))</f>
        <v/>
      </c>
      <c r="U31" s="425" t="str">
        <f t="shared" si="177"/>
        <v/>
      </c>
      <c r="V31" s="425"/>
      <c r="W31" s="425" t="str">
        <f t="shared" si="178"/>
        <v/>
      </c>
      <c r="X31" s="428" t="str">
        <f>IF(AND(NOT(C30=""),C31=""),SUM($X$28:X30),IF(C31="","",IF(HZ7="Engine",-IG7,"")))</f>
        <v/>
      </c>
      <c r="Y31" s="429" t="str">
        <f t="shared" si="179"/>
        <v/>
      </c>
      <c r="Z31" s="26"/>
      <c r="AC31" s="136">
        <v>3.5</v>
      </c>
      <c r="AD31" s="137">
        <f>IF($FY$7="True",SOURCE!BL12,SOURCE!BP12)</f>
        <v>0.876</v>
      </c>
      <c r="AE31" s="137">
        <f>IF($FY$7="True",SOURCE!BM12,SOURCE!BQ12)</f>
        <v>1.0649999999999999</v>
      </c>
      <c r="AF31" s="137">
        <f>IF($FY$7="True",SOURCE!BN12,SOURCE!BR12)</f>
        <v>0.876</v>
      </c>
      <c r="AG31" s="137">
        <f>IF($FY$7="True",SOURCE!BO12,SOURCE!BS12)</f>
        <v>1.05</v>
      </c>
      <c r="AH31" s="138">
        <f t="shared" si="156"/>
        <v>2502750</v>
      </c>
      <c r="AI31" s="136">
        <f t="shared" si="157"/>
        <v>82.343999999999994</v>
      </c>
      <c r="AJ31" s="138">
        <f t="shared" si="91"/>
        <v>8683.9530332681024</v>
      </c>
      <c r="AK31" s="138">
        <f t="shared" si="92"/>
        <v>30393.835616438359</v>
      </c>
      <c r="AL31" s="138">
        <f t="shared" si="152"/>
        <v>2590875</v>
      </c>
      <c r="AM31" s="355">
        <f t="shared" si="93"/>
        <v>135.09562500000001</v>
      </c>
      <c r="AN31" s="138">
        <f t="shared" si="94"/>
        <v>5479.4520547945203</v>
      </c>
      <c r="AO31" s="138">
        <f t="shared" si="95"/>
        <v>19178.082191780821</v>
      </c>
      <c r="AP31" s="138"/>
      <c r="AQ31" s="136">
        <f t="shared" si="96"/>
        <v>3.5</v>
      </c>
      <c r="AR31" s="138">
        <f t="shared" si="158"/>
        <v>2590875</v>
      </c>
      <c r="AS31" s="136">
        <f t="shared" si="159"/>
        <v>135.09562500000001</v>
      </c>
      <c r="AT31" s="138">
        <f t="shared" si="160"/>
        <v>5479.4520547945203</v>
      </c>
      <c r="AU31" s="138">
        <f t="shared" si="161"/>
        <v>19178.082191780821</v>
      </c>
      <c r="AV31" s="33">
        <f t="shared" si="49"/>
        <v>2590875</v>
      </c>
      <c r="AW31" s="136">
        <f t="shared" si="162"/>
        <v>135.09562500000001</v>
      </c>
      <c r="AX31" s="138">
        <f t="shared" si="163"/>
        <v>5479.4520547945203</v>
      </c>
      <c r="AY31" s="138">
        <f t="shared" si="164"/>
        <v>19178.082191780821</v>
      </c>
      <c r="AZ31" s="50"/>
      <c r="BA31" s="253" t="s">
        <v>36</v>
      </c>
      <c r="BB31" s="254">
        <f>AVERAGE(BB6:BB30)</f>
        <v>23333.333333333332</v>
      </c>
      <c r="BC31" s="254">
        <f>ROUND(SUM(BC6:BC30),-3)</f>
        <v>2591000</v>
      </c>
      <c r="BD31" s="300">
        <f>SUM(BD6:BD30)</f>
        <v>112.85000000000001</v>
      </c>
      <c r="BE31" s="253"/>
      <c r="BF31" s="253"/>
      <c r="BG31" s="254">
        <f>SUM(BG6:BG30)</f>
        <v>1303640</v>
      </c>
      <c r="BH31" s="254">
        <f>SUM(BH6:BH30)</f>
        <v>488925</v>
      </c>
      <c r="BI31" s="254"/>
      <c r="BJ31" s="256"/>
      <c r="BK31" s="253"/>
      <c r="BL31" s="254">
        <f>SUM(BL6:BL30)</f>
        <v>711690</v>
      </c>
      <c r="BM31" s="254">
        <f>SUM(BM6:BM30)</f>
        <v>128115</v>
      </c>
      <c r="BN31" s="253"/>
      <c r="BO31" s="254">
        <f>SUM(BO6:BO30)</f>
        <v>1879140</v>
      </c>
      <c r="BP31" s="254">
        <f>SUM(BP6:BP30)</f>
        <v>289503</v>
      </c>
      <c r="BQ31" s="253"/>
      <c r="BR31" s="254">
        <f>SUM(BR6:BR30)</f>
        <v>0</v>
      </c>
      <c r="BS31" s="254">
        <f>SUM(BS6:BS30)</f>
        <v>0</v>
      </c>
      <c r="BT31" s="253"/>
      <c r="BU31" s="254">
        <f>SUM(BU6:BU30)</f>
        <v>2015330</v>
      </c>
      <c r="BV31" s="254">
        <f>SUM(BV6:BV30)</f>
        <v>289195.60000000003</v>
      </c>
      <c r="BW31" s="253"/>
      <c r="BX31" s="254">
        <f>SUM(BX6:BX30)</f>
        <v>575500</v>
      </c>
      <c r="BY31" s="254">
        <f>SUM(BY6:BY30)</f>
        <v>115100</v>
      </c>
      <c r="BZ31" s="253"/>
      <c r="CA31" s="254">
        <f>SUM(CA6:CA30)</f>
        <v>1303640</v>
      </c>
      <c r="CB31" s="254">
        <f>SUM(CB6:CB30)</f>
        <v>260728</v>
      </c>
      <c r="CC31" s="253"/>
      <c r="CD31" s="254">
        <f>SUM(CD6:CD30)</f>
        <v>711690</v>
      </c>
      <c r="CE31" s="254">
        <f>SUM(CE6:CE30)</f>
        <v>28467.600000000002</v>
      </c>
      <c r="CF31" s="253"/>
      <c r="CG31" s="254">
        <f>SUM(CG6:CG30)</f>
        <v>1879140</v>
      </c>
      <c r="CH31" s="254">
        <f>SUM(CH6:CH30)</f>
        <v>375828</v>
      </c>
      <c r="CI31" s="253"/>
      <c r="CJ31" s="254">
        <f>SUM(CJ6:CJ30)</f>
        <v>0</v>
      </c>
      <c r="CK31" s="254">
        <f>SUM(CK6:CK30)</f>
        <v>0</v>
      </c>
      <c r="CL31" s="253"/>
      <c r="CM31" s="254">
        <f>SUM(CM6:CM30)</f>
        <v>2015330</v>
      </c>
      <c r="CN31" s="254">
        <f>SUM(CN6:CN30)</f>
        <v>289195.60000000003</v>
      </c>
      <c r="CO31" s="253"/>
      <c r="CP31" s="254">
        <f>SUM(CP6:CP30)</f>
        <v>575500</v>
      </c>
      <c r="CQ31" s="254">
        <f>SUM(CQ6:CQ30)</f>
        <v>115100</v>
      </c>
      <c r="CR31" s="253"/>
      <c r="CS31" s="254">
        <f>SUM(CS6:CS30)</f>
        <v>1303640</v>
      </c>
      <c r="CT31" s="254">
        <f>SUM(CT6:CT30)</f>
        <v>260728</v>
      </c>
      <c r="CU31" s="253"/>
      <c r="CV31" s="254">
        <f>SUM(CV6:CV30)</f>
        <v>711690</v>
      </c>
      <c r="CW31" s="254">
        <f>SUM(CW6:CW30)</f>
        <v>28467.600000000002</v>
      </c>
      <c r="CX31" s="253"/>
      <c r="CY31" s="254">
        <f>SUM(CY6:CY30)</f>
        <v>1879140</v>
      </c>
      <c r="CZ31" s="254">
        <f>SUM(CZ6:CZ30)</f>
        <v>375828</v>
      </c>
      <c r="DA31" s="253"/>
      <c r="DM31" s="44">
        <f t="shared" si="129"/>
        <v>25</v>
      </c>
      <c r="DN31" s="41">
        <f t="shared" si="65"/>
        <v>12307520</v>
      </c>
      <c r="DO31" s="41">
        <f t="shared" si="130"/>
        <v>124541.17521367522</v>
      </c>
      <c r="DP31" s="42">
        <f t="shared" si="66"/>
        <v>0</v>
      </c>
      <c r="DQ31" s="42">
        <f t="shared" si="67"/>
        <v>0</v>
      </c>
      <c r="DR31" s="42">
        <f t="shared" si="68"/>
        <v>0</v>
      </c>
      <c r="DS31" s="42">
        <f t="shared" si="69"/>
        <v>0</v>
      </c>
      <c r="DT31" s="42">
        <f t="shared" si="70"/>
        <v>0</v>
      </c>
      <c r="DU31" s="42">
        <f t="shared" si="71"/>
        <v>0</v>
      </c>
      <c r="DV31" s="42">
        <f t="shared" si="72"/>
        <v>0</v>
      </c>
      <c r="DW31" s="42">
        <f t="shared" si="73"/>
        <v>0</v>
      </c>
      <c r="DX31" s="42">
        <f t="shared" si="74"/>
        <v>2893129.38034188</v>
      </c>
      <c r="DY31" s="42">
        <f>IF(DM31="",DY30,DN31-SUM($DO$6:DO31)+SUM($DP$6:DV31)-SUM($DW$6:DW31))</f>
        <v>9414390.61965812</v>
      </c>
      <c r="DZ31" s="43">
        <f t="shared" si="131"/>
        <v>0.76492994686647842</v>
      </c>
      <c r="EA31" s="43"/>
      <c r="EB31" s="43" t="str">
        <f t="shared" si="146"/>
        <v>False</v>
      </c>
      <c r="EC31" s="41">
        <f t="shared" si="132"/>
        <v>220400</v>
      </c>
      <c r="ED31" s="41">
        <f t="shared" si="133"/>
        <v>606690</v>
      </c>
      <c r="EE31" s="41">
        <f t="shared" si="75"/>
        <v>902280</v>
      </c>
      <c r="EF31" s="41">
        <f t="shared" si="147"/>
        <v>12244.444444444445</v>
      </c>
      <c r="EG31" s="42">
        <f t="shared" si="134"/>
        <v>8426.25</v>
      </c>
      <c r="EH31" s="42">
        <f t="shared" si="135"/>
        <v>6265.8333333333321</v>
      </c>
      <c r="EI31" s="42">
        <f t="shared" si="76"/>
        <v>85711</v>
      </c>
      <c r="EJ31" s="42">
        <f t="shared" si="136"/>
        <v>210656</v>
      </c>
      <c r="EK31" s="42">
        <f t="shared" si="77"/>
        <v>156646</v>
      </c>
      <c r="EL31" s="42">
        <f>IF(DM31="","",EC31-SUM($EF$6:EF31)+SUM($DP$6:DP31))</f>
        <v>134688.88888888893</v>
      </c>
      <c r="EM31" s="42">
        <f>IF(DM31="","",ED31-SUM($EG$6:EG31)+SUM($DQ$6:DQ31))</f>
        <v>396033.75</v>
      </c>
      <c r="EN31" s="42">
        <f>IF(DM31="","",EE31-SUM($EH$6:EH31)+SUM($DR$6:DR31))</f>
        <v>745634.16666666674</v>
      </c>
      <c r="EO31" s="152">
        <f t="shared" si="148"/>
        <v>0.73804726897977635</v>
      </c>
      <c r="EP31" s="43"/>
      <c r="EQ31" s="42">
        <f t="shared" si="78"/>
        <v>448050</v>
      </c>
      <c r="ER31" s="42">
        <f t="shared" si="79"/>
        <v>248100</v>
      </c>
      <c r="ES31" s="42">
        <f t="shared" si="137"/>
        <v>3733.75</v>
      </c>
      <c r="ET31" s="42">
        <f t="shared" si="138"/>
        <v>6122.9807692307695</v>
      </c>
      <c r="EU31" s="42">
        <f t="shared" si="80"/>
        <v>93344</v>
      </c>
      <c r="EV31" s="42">
        <f t="shared" si="81"/>
        <v>153075</v>
      </c>
      <c r="EW31" s="42">
        <f>IF(DM31="","",IF(DS31&gt;0,DS31,EQ31-SUM($ES$6:ES31)+SUM($DS$6:DS31)))</f>
        <v>354706.25</v>
      </c>
      <c r="EX31" s="42">
        <f>IF(DM31="","",IF(DT31&gt;0,DT31,ER31-SUM($ET$6:ET31)+SUM($DT$6:DT31)))</f>
        <v>95025.48076923078</v>
      </c>
      <c r="EY31" s="43">
        <f t="shared" si="82"/>
        <v>0.38301282051282054</v>
      </c>
      <c r="EZ31" s="43">
        <f t="shared" si="83"/>
        <v>0.79166666666666663</v>
      </c>
      <c r="FA31" s="43"/>
      <c r="FB31" s="42">
        <f t="shared" si="84"/>
        <v>4700000</v>
      </c>
      <c r="FC31" s="42">
        <f t="shared" si="85"/>
        <v>5182000</v>
      </c>
      <c r="FD31" s="41">
        <f t="shared" si="139"/>
        <v>54833.333333333336</v>
      </c>
      <c r="FE31" s="41">
        <f t="shared" si="140"/>
        <v>32914.583333333336</v>
      </c>
      <c r="FF31" s="42">
        <f t="shared" si="86"/>
        <v>1370833</v>
      </c>
      <c r="FG31" s="42">
        <f t="shared" si="87"/>
        <v>822865</v>
      </c>
      <c r="FH31" s="42">
        <f>IF(DM31="","",IF(DU31&gt;0,DU31,FB31-SUM($FD$6:FD31)+SUM($DU$6:DU31)))</f>
        <v>3329166.666666667</v>
      </c>
      <c r="FI31" s="42">
        <f>IF(DM31="","",FC31-SUM($FE$6:FE31)+SUM($DV$6:DV31)-SUM($DW$6:DW31))</f>
        <v>4359135.416666666</v>
      </c>
      <c r="FJ31" s="152">
        <f t="shared" si="88"/>
        <v>0.77801073500640894</v>
      </c>
      <c r="FL31" s="23"/>
      <c r="FP31" s="8"/>
      <c r="FQ31" s="8"/>
      <c r="FR31" s="27">
        <v>3.5</v>
      </c>
      <c r="FS31" s="21"/>
      <c r="FT31" s="21"/>
      <c r="FU31" s="21"/>
      <c r="GC31" s="68">
        <f t="shared" si="26"/>
        <v>26</v>
      </c>
      <c r="GD31" s="78">
        <f t="shared" si="27"/>
        <v>0</v>
      </c>
      <c r="GE31" s="309">
        <f t="shared" si="28"/>
        <v>0.7548108347127972</v>
      </c>
      <c r="GF31" s="78">
        <f t="shared" si="29"/>
        <v>0</v>
      </c>
      <c r="GG31" s="310">
        <f t="shared" si="30"/>
        <v>0.72247134955375536</v>
      </c>
      <c r="GH31" s="78">
        <f t="shared" si="31"/>
        <v>0</v>
      </c>
      <c r="GI31" s="310">
        <f t="shared" si="32"/>
        <v>0.78333333333333333</v>
      </c>
      <c r="GJ31" s="311">
        <f t="shared" si="33"/>
        <v>0</v>
      </c>
      <c r="GK31" s="310">
        <f t="shared" si="34"/>
        <v>0.35833333333333334</v>
      </c>
      <c r="GL31" s="311">
        <f t="shared" si="35"/>
        <v>0</v>
      </c>
      <c r="GM31" s="310">
        <f t="shared" si="36"/>
        <v>0.76913116440666529</v>
      </c>
      <c r="GO31" s="266" t="s">
        <v>4</v>
      </c>
      <c r="GP31" s="266" t="s">
        <v>276</v>
      </c>
      <c r="GQ31" s="14">
        <f>IF(GS31="","",COUNT($GS$4:GS31))</f>
        <v>20</v>
      </c>
      <c r="GR31" s="24" t="str">
        <f t="shared" si="166"/>
        <v>SV (2 Each)</v>
      </c>
      <c r="GS31" s="134">
        <f t="shared" ref="GS31:GS44" si="181">IF(GS30="","",IF(ROUND($BJ$6/$GA$5,0)+GS30&gt;=$FW$23,"",INT(GZ30+$BJ$6/$GA$5)))</f>
        <v>140</v>
      </c>
      <c r="GT31" s="66" t="str">
        <f>IF(GS31="","",BM32)</f>
        <v xml:space="preserve">  PR+</v>
      </c>
      <c r="GU31" s="66">
        <f>IF(GS31="","",2*BL32)</f>
        <v>5058375</v>
      </c>
      <c r="GV31" s="265">
        <f>IF(GS31="","",2*BL31)</f>
        <v>1423380</v>
      </c>
      <c r="GW31" s="265">
        <f>IF($GS31="","",2*BM31)</f>
        <v>256230</v>
      </c>
      <c r="GX31" s="265">
        <f t="shared" ref="GX31:GX44" si="182">IF(GS31="","",$DG$23)</f>
        <v>16000</v>
      </c>
      <c r="GY31" s="66">
        <f t="shared" ref="GY31:GY44" si="183">IF(GS31="","",$DH$23)</f>
        <v>8000</v>
      </c>
      <c r="GZ31" s="134">
        <f t="shared" ref="GZ31:GZ44" si="184">IF(GS31="","",GZ30+$BJ$6/$GA$5)</f>
        <v>140.57142857142856</v>
      </c>
      <c r="HA31" s="14" t="str">
        <f>IF(HC31="","",_xlfn.RANK.EQ(HC31,$HC$4:$HC$44,1)+COUNTIF($HC$4:$HC$44,HC31)-COUNTIF($HC$4:HC31,HC31))</f>
        <v/>
      </c>
      <c r="HB31" s="24" t="str">
        <f t="shared" si="39"/>
        <v/>
      </c>
      <c r="HC31" s="14" t="str">
        <f t="shared" si="0"/>
        <v/>
      </c>
      <c r="HD31" s="24" t="str">
        <f t="shared" si="40"/>
        <v/>
      </c>
      <c r="HE31" s="13" t="str">
        <f t="shared" si="1"/>
        <v/>
      </c>
      <c r="HF31" s="13" t="str">
        <f t="shared" si="169"/>
        <v/>
      </c>
      <c r="HG31" s="13"/>
      <c r="HH31" s="24" t="str">
        <f t="shared" si="3"/>
        <v/>
      </c>
      <c r="HI31" s="66" t="str">
        <f t="shared" si="4"/>
        <v/>
      </c>
      <c r="HJ31" s="82" t="str">
        <f t="shared" si="5"/>
        <v/>
      </c>
      <c r="HK31" s="66" t="str">
        <f t="shared" si="6"/>
        <v/>
      </c>
      <c r="HL31" s="66" t="str">
        <f t="shared" si="7"/>
        <v/>
      </c>
      <c r="HM31" s="66" t="str">
        <f t="shared" si="8"/>
        <v/>
      </c>
      <c r="HN31" s="24" t="str">
        <f t="shared" si="170"/>
        <v/>
      </c>
      <c r="HO31" s="14" t="str">
        <f t="shared" si="9"/>
        <v/>
      </c>
      <c r="HP31" s="24" t="str">
        <f t="shared" si="10"/>
        <v/>
      </c>
      <c r="HQ31" s="24" t="str">
        <f t="shared" si="11"/>
        <v/>
      </c>
      <c r="HR31" s="13" t="str">
        <f t="shared" si="171"/>
        <v/>
      </c>
      <c r="HT31" s="13" t="str">
        <f t="shared" si="12"/>
        <v/>
      </c>
      <c r="HU31" s="75" t="str">
        <f t="shared" si="13"/>
        <v/>
      </c>
      <c r="HV31" s="75" t="str">
        <f t="shared" si="42"/>
        <v/>
      </c>
      <c r="HW31" s="75" t="str">
        <f t="shared" si="14"/>
        <v/>
      </c>
      <c r="HX31" s="75" t="str">
        <f t="shared" si="15"/>
        <v/>
      </c>
      <c r="HY31" s="66" t="str">
        <f t="shared" si="16"/>
        <v/>
      </c>
      <c r="HZ31" s="151" t="str">
        <f t="shared" si="17"/>
        <v/>
      </c>
      <c r="IA31" s="151" t="str">
        <f t="shared" si="18"/>
        <v/>
      </c>
      <c r="IB31" s="151"/>
      <c r="IC31" s="149" t="str">
        <f t="shared" si="19"/>
        <v/>
      </c>
      <c r="ID31" s="151" t="str">
        <f t="shared" si="20"/>
        <v/>
      </c>
      <c r="IE31" s="33" t="str">
        <f t="shared" si="21"/>
        <v/>
      </c>
      <c r="IF31" s="33" t="str">
        <f t="shared" si="22"/>
        <v/>
      </c>
      <c r="IG31" s="33" t="str">
        <f t="shared" si="23"/>
        <v/>
      </c>
      <c r="IH31" s="33" t="str">
        <f t="shared" si="24"/>
        <v/>
      </c>
      <c r="II31" s="33" t="str">
        <f t="shared" si="25"/>
        <v/>
      </c>
      <c r="IM31" s="13"/>
      <c r="IN31" s="13"/>
      <c r="IO31" s="13"/>
      <c r="IP31" s="13"/>
      <c r="IQ31" s="13"/>
    </row>
    <row r="32" spans="1:251" ht="12" customHeight="1" x14ac:dyDescent="0.2">
      <c r="A32" s="9"/>
      <c r="B32" s="423"/>
      <c r="C32" s="154" t="str">
        <f t="shared" si="180"/>
        <v>5       Airframe  5C-Check</v>
      </c>
      <c r="D32" s="154"/>
      <c r="E32" s="424"/>
      <c r="F32" s="424"/>
      <c r="G32" s="425">
        <f t="shared" si="172"/>
        <v>90</v>
      </c>
      <c r="H32" s="425"/>
      <c r="I32" s="426">
        <f t="shared" si="173"/>
        <v>44013</v>
      </c>
      <c r="J32" s="425">
        <f t="shared" si="174"/>
        <v>26250</v>
      </c>
      <c r="K32" s="425">
        <f t="shared" si="175"/>
        <v>13125</v>
      </c>
      <c r="L32" s="425"/>
      <c r="M32" s="425">
        <f>IF(AND(NOT(C31=""),C32=""),SUM($M$28:M31),IF(C32="","",IF(HZ8="Engine",SUM(IE8:IF8),IE8)))</f>
        <v>222480</v>
      </c>
      <c r="N32" s="154"/>
      <c r="O32" s="156" t="str">
        <f t="shared" si="176"/>
        <v/>
      </c>
      <c r="Q32" s="427" t="str">
        <f>IF(AND(NOT(C31=""),C32=""),SUM($Q$28:Q31),IF(C32="","",IF(HZ8="Engine",IE8,"")))</f>
        <v/>
      </c>
      <c r="R32" s="154"/>
      <c r="S32" s="427" t="str">
        <f>IF(AND(NOT(C31=""),C32=""),SUM($S$28:S31),IF(C32="","",IF(HZ8="Engine",IF8,"")))</f>
        <v/>
      </c>
      <c r="U32" s="425" t="str">
        <f t="shared" si="177"/>
        <v/>
      </c>
      <c r="V32" s="425"/>
      <c r="W32" s="425" t="str">
        <f t="shared" si="178"/>
        <v/>
      </c>
      <c r="X32" s="428" t="str">
        <f>IF(AND(NOT(C31=""),C32=""),SUM($X$28:X31),IF(C32="","",IF(HZ8="Engine",-IG8,"")))</f>
        <v/>
      </c>
      <c r="Y32" s="429" t="str">
        <f t="shared" si="179"/>
        <v/>
      </c>
      <c r="Z32" s="26"/>
      <c r="AC32" s="20">
        <v>3.6</v>
      </c>
      <c r="AD32" s="18">
        <f>AD31-($AD$31-$AD$36)/5</f>
        <v>0.87280000000000002</v>
      </c>
      <c r="AE32" s="18">
        <f>AE31-($AE$31-$AE$36)/5</f>
        <v>1.0669999999999999</v>
      </c>
      <c r="AF32" s="18">
        <f>AF31-($AF$31-$AF$36)/5</f>
        <v>0.87280000000000002</v>
      </c>
      <c r="AG32" s="18">
        <f>AG31-($AG$31-$AG$36)/5</f>
        <v>1.052</v>
      </c>
      <c r="AH32" s="50">
        <f t="shared" si="156"/>
        <v>2507450</v>
      </c>
      <c r="AI32" s="51">
        <f t="shared" si="157"/>
        <v>82.043199999999999</v>
      </c>
      <c r="AJ32" s="50">
        <f t="shared" si="91"/>
        <v>8489.5992463590992</v>
      </c>
      <c r="AK32" s="50">
        <f t="shared" si="92"/>
        <v>30562.557286892759</v>
      </c>
      <c r="AL32" s="348">
        <f t="shared" si="152"/>
        <v>2595810</v>
      </c>
      <c r="AM32" s="354">
        <f t="shared" si="93"/>
        <v>134.602125</v>
      </c>
      <c r="AN32" s="348">
        <f t="shared" si="94"/>
        <v>5356.9609939912416</v>
      </c>
      <c r="AO32" s="348">
        <f t="shared" si="95"/>
        <v>19285.059578368469</v>
      </c>
      <c r="AP32" s="50"/>
      <c r="AQ32" s="349">
        <f t="shared" si="96"/>
        <v>3.6</v>
      </c>
      <c r="AR32" s="50">
        <f t="shared" si="158"/>
        <v>2595810</v>
      </c>
      <c r="AS32" s="51">
        <f>$AS$16*$AF32</f>
        <v>134.602125</v>
      </c>
      <c r="AT32" s="348">
        <f t="shared" si="160"/>
        <v>5356.9609939912416</v>
      </c>
      <c r="AU32" s="348">
        <f t="shared" si="161"/>
        <v>19285.059578368469</v>
      </c>
      <c r="AV32" s="350">
        <f t="shared" si="49"/>
        <v>2595810</v>
      </c>
      <c r="AW32" s="349">
        <f t="shared" si="162"/>
        <v>134.602125</v>
      </c>
      <c r="AX32" s="348">
        <f t="shared" si="163"/>
        <v>5356.9609939912416</v>
      </c>
      <c r="AY32" s="348">
        <f t="shared" si="164"/>
        <v>19285.059578368469</v>
      </c>
      <c r="AZ32" s="50"/>
      <c r="BA32" s="253" t="s">
        <v>339</v>
      </c>
      <c r="BB32" s="253"/>
      <c r="BC32" s="253"/>
      <c r="BD32" s="253"/>
      <c r="BE32" s="253"/>
      <c r="BF32" s="253"/>
      <c r="BG32" s="254">
        <f>IF(BG23="",DF12,1.025*DF12)</f>
        <v>2350000</v>
      </c>
      <c r="BH32" s="255" t="str">
        <f>IF(BG23="","PR","  PR+")</f>
        <v>PR</v>
      </c>
      <c r="BI32" s="256"/>
      <c r="BJ32" s="253"/>
      <c r="BK32" s="253"/>
      <c r="BL32" s="254">
        <f>IF(BL23="",$DF$23,1.025*$DF$23)</f>
        <v>2529187.5</v>
      </c>
      <c r="BM32" s="255" t="str">
        <f>IF(BL23="","PR","  PR+")</f>
        <v xml:space="preserve">  PR+</v>
      </c>
      <c r="BN32" s="253"/>
      <c r="BO32" s="254">
        <f>IF(BO23="",$DF$23,1.025*$DF$23)</f>
        <v>2467500</v>
      </c>
      <c r="BP32" s="255" t="str">
        <f>IF(BO23="","PR","  PR+")</f>
        <v>PR</v>
      </c>
      <c r="BQ32" s="253"/>
      <c r="BR32" s="254">
        <f>IF(BR23="",$DF$23,1.025*$DF$23)</f>
        <v>2467500</v>
      </c>
      <c r="BS32" s="255" t="str">
        <f>IF(BR23="","PR","  PR+")</f>
        <v>PR</v>
      </c>
      <c r="BT32" s="253"/>
      <c r="BU32" s="254">
        <f>IF(BU23="",$DF$23,1.025*$DF$23)</f>
        <v>2529187.5</v>
      </c>
      <c r="BV32" s="255" t="str">
        <f>IF(BU23="","PR","  PR+")</f>
        <v xml:space="preserve">  PR+</v>
      </c>
      <c r="BW32" s="253"/>
      <c r="BX32" s="254">
        <f>IF(BX23="",$DF$23,1.025*$DF$23)</f>
        <v>2467500</v>
      </c>
      <c r="BY32" s="255" t="str">
        <f>IF(BX23="","PR","  PR+")</f>
        <v>PR</v>
      </c>
      <c r="BZ32" s="253"/>
      <c r="CA32" s="254">
        <f>IF(CA23="",$DF$23,1.025*$DF$23)</f>
        <v>2467500</v>
      </c>
      <c r="CB32" s="255" t="str">
        <f>IF(CA23="","PR","  PR+")</f>
        <v>PR</v>
      </c>
      <c r="CC32" s="253"/>
      <c r="CD32" s="254">
        <f>IF(CD23="",$DF$23,1.025*$DF$23)</f>
        <v>2529187.5</v>
      </c>
      <c r="CE32" s="255" t="str">
        <f>IF(CD23="","PR","  PR+")</f>
        <v xml:space="preserve">  PR+</v>
      </c>
      <c r="CF32" s="253"/>
      <c r="CG32" s="254">
        <f>IF(CG23="",$DF$23,1.025*$DF$23)</f>
        <v>2467500</v>
      </c>
      <c r="CH32" s="255" t="str">
        <f>IF(CG23="","PR","  PR+")</f>
        <v>PR</v>
      </c>
      <c r="CI32" s="253"/>
      <c r="CJ32" s="254">
        <f>IF(CJ23="",$DF$23,1.025*$DF$23)</f>
        <v>2467500</v>
      </c>
      <c r="CK32" s="255" t="str">
        <f>IF(CJ23="","PR","  PR+")</f>
        <v>PR</v>
      </c>
      <c r="CL32" s="253"/>
      <c r="CM32" s="254">
        <f>IF(CM23="",$DF$23,1.025*$DF$23)</f>
        <v>2529187.5</v>
      </c>
      <c r="CN32" s="255" t="str">
        <f>IF(CM23="","PR","  PR+")</f>
        <v xml:space="preserve">  PR+</v>
      </c>
      <c r="CO32" s="253"/>
      <c r="CP32" s="254">
        <f>IF(CP23="",$DF$23,1.025*$DF$23)</f>
        <v>2467500</v>
      </c>
      <c r="CQ32" s="255" t="str">
        <f>IF(CP23="","PR","  PR+")</f>
        <v>PR</v>
      </c>
      <c r="CR32" s="253"/>
      <c r="CS32" s="254">
        <f>IF(CS23="",$DF$23,1.025*$DF$23)</f>
        <v>2467500</v>
      </c>
      <c r="CT32" s="255" t="str">
        <f>IF(CS23="","PR","  PR+")</f>
        <v>PR</v>
      </c>
      <c r="CU32" s="253"/>
      <c r="CV32" s="254">
        <f>IF(CV23="",$DF$23,1.025*$DF$23)</f>
        <v>2529187.5</v>
      </c>
      <c r="CW32" s="255" t="str">
        <f>IF(CV23="","PR","  PR+")</f>
        <v xml:space="preserve">  PR+</v>
      </c>
      <c r="CX32" s="253"/>
      <c r="CY32" s="254">
        <f>IF(CY23="",$DF$23,1.025*$DF$23)</f>
        <v>2467500</v>
      </c>
      <c r="CZ32" s="255" t="str">
        <f>IF(CY23="","PR","  PR+")</f>
        <v>PR</v>
      </c>
      <c r="DA32" s="253"/>
      <c r="DM32" s="44">
        <f t="shared" si="129"/>
        <v>26</v>
      </c>
      <c r="DN32" s="41">
        <f t="shared" si="65"/>
        <v>12307520</v>
      </c>
      <c r="DO32" s="41">
        <f t="shared" si="130"/>
        <v>124541.17521367522</v>
      </c>
      <c r="DP32" s="42">
        <f t="shared" si="66"/>
        <v>0</v>
      </c>
      <c r="DQ32" s="42">
        <f t="shared" si="67"/>
        <v>0</v>
      </c>
      <c r="DR32" s="42">
        <f t="shared" si="68"/>
        <v>0</v>
      </c>
      <c r="DS32" s="42">
        <f t="shared" si="69"/>
        <v>0</v>
      </c>
      <c r="DT32" s="42">
        <f t="shared" si="70"/>
        <v>0</v>
      </c>
      <c r="DU32" s="42">
        <f t="shared" si="71"/>
        <v>0</v>
      </c>
      <c r="DV32" s="42">
        <f t="shared" si="72"/>
        <v>0</v>
      </c>
      <c r="DW32" s="42">
        <f t="shared" si="73"/>
        <v>0</v>
      </c>
      <c r="DX32" s="42">
        <f t="shared" si="74"/>
        <v>3017670.5555555541</v>
      </c>
      <c r="DY32" s="42">
        <f>IF(DM32="",DY31,DN32-SUM($DO$6:DO32)+SUM($DP$6:DV32)-SUM($DW$6:DW32))</f>
        <v>9289849.4444444459</v>
      </c>
      <c r="DZ32" s="43">
        <f t="shared" si="131"/>
        <v>0.7548108347127972</v>
      </c>
      <c r="EA32" s="43"/>
      <c r="EB32" s="43" t="str">
        <f t="shared" si="146"/>
        <v>False</v>
      </c>
      <c r="EC32" s="41">
        <f t="shared" si="132"/>
        <v>220400</v>
      </c>
      <c r="ED32" s="41">
        <f t="shared" si="133"/>
        <v>606690</v>
      </c>
      <c r="EE32" s="41">
        <f t="shared" si="75"/>
        <v>902280</v>
      </c>
      <c r="EF32" s="41">
        <f t="shared" si="147"/>
        <v>12244.444444444445</v>
      </c>
      <c r="EG32" s="42">
        <f t="shared" si="134"/>
        <v>8426.25</v>
      </c>
      <c r="EH32" s="42">
        <f t="shared" si="135"/>
        <v>6265.8333333333321</v>
      </c>
      <c r="EI32" s="42">
        <f t="shared" si="76"/>
        <v>97956</v>
      </c>
      <c r="EJ32" s="42">
        <f t="shared" si="136"/>
        <v>219083</v>
      </c>
      <c r="EK32" s="42">
        <f t="shared" si="77"/>
        <v>162912</v>
      </c>
      <c r="EL32" s="42">
        <f>IF(DM32="","",EC32-SUM($EF$6:EF32)+SUM($DP$6:DP32))</f>
        <v>122444.4444444445</v>
      </c>
      <c r="EM32" s="42">
        <f>IF(DM32="","",ED32-SUM($EG$6:EG32)+SUM($DQ$6:DQ32))</f>
        <v>387607.5</v>
      </c>
      <c r="EN32" s="42">
        <f>IF(DM32="","",EE32-SUM($EH$6:EH32)+SUM($DR$6:DR32))</f>
        <v>739368.33333333337</v>
      </c>
      <c r="EO32" s="152">
        <f t="shared" si="148"/>
        <v>0.72247134955375536</v>
      </c>
      <c r="EP32" s="43"/>
      <c r="EQ32" s="42">
        <f t="shared" si="78"/>
        <v>448050</v>
      </c>
      <c r="ER32" s="42">
        <f t="shared" si="79"/>
        <v>248100</v>
      </c>
      <c r="ES32" s="42">
        <f t="shared" si="137"/>
        <v>3733.75</v>
      </c>
      <c r="ET32" s="42">
        <f t="shared" si="138"/>
        <v>6122.9807692307695</v>
      </c>
      <c r="EU32" s="42">
        <f t="shared" si="80"/>
        <v>97078</v>
      </c>
      <c r="EV32" s="42">
        <f t="shared" si="81"/>
        <v>159198</v>
      </c>
      <c r="EW32" s="42">
        <f>IF(DM32="","",IF(DS32&gt;0,DS32,EQ32-SUM($ES$6:ES32)+SUM($DS$6:DS32)))</f>
        <v>350972.5</v>
      </c>
      <c r="EX32" s="42">
        <f>IF(DM32="","",IF(DT32&gt;0,DT32,ER32-SUM($ET$6:ET32)+SUM($DT$6:DT32)))</f>
        <v>88902.5</v>
      </c>
      <c r="EY32" s="43">
        <f t="shared" si="82"/>
        <v>0.35833333333333334</v>
      </c>
      <c r="EZ32" s="43">
        <f t="shared" si="83"/>
        <v>0.78333333333333333</v>
      </c>
      <c r="FA32" s="43"/>
      <c r="FB32" s="42">
        <f t="shared" si="84"/>
        <v>4700000</v>
      </c>
      <c r="FC32" s="42">
        <f t="shared" si="85"/>
        <v>5182000</v>
      </c>
      <c r="FD32" s="41">
        <f t="shared" si="139"/>
        <v>54833.333333333336</v>
      </c>
      <c r="FE32" s="41">
        <f t="shared" si="140"/>
        <v>32914.583333333336</v>
      </c>
      <c r="FF32" s="42">
        <f t="shared" si="86"/>
        <v>1425667</v>
      </c>
      <c r="FG32" s="42">
        <f t="shared" si="87"/>
        <v>855779</v>
      </c>
      <c r="FH32" s="42">
        <f>IF(DM32="","",IF(DU32&gt;0,DU32,FB32-SUM($FD$6:FD32)+SUM($DU$6:DU32)))</f>
        <v>3274333.3333333335</v>
      </c>
      <c r="FI32" s="42">
        <f>IF(DM32="","",FC32-SUM($FE$6:FE32)+SUM($DV$6:DV32)-SUM($DW$6:DW32))</f>
        <v>4326220.833333333</v>
      </c>
      <c r="FJ32" s="152">
        <f t="shared" si="88"/>
        <v>0.76913116440666529</v>
      </c>
      <c r="FL32" s="23"/>
      <c r="FP32" s="8"/>
      <c r="FQ32" s="8"/>
      <c r="FR32" s="27">
        <v>3.6</v>
      </c>
      <c r="FS32" s="8"/>
      <c r="FT32" s="8"/>
      <c r="FU32" s="8"/>
      <c r="GC32" s="68">
        <f t="shared" si="26"/>
        <v>27</v>
      </c>
      <c r="GD32" s="78">
        <f t="shared" si="27"/>
        <v>0</v>
      </c>
      <c r="GE32" s="309">
        <f t="shared" si="28"/>
        <v>0.74469172255911609</v>
      </c>
      <c r="GF32" s="78">
        <f t="shared" si="29"/>
        <v>0</v>
      </c>
      <c r="GG32" s="310">
        <f t="shared" si="30"/>
        <v>0.70689543012773437</v>
      </c>
      <c r="GH32" s="78">
        <f t="shared" si="31"/>
        <v>0</v>
      </c>
      <c r="GI32" s="310">
        <f t="shared" si="32"/>
        <v>0.77500000000000002</v>
      </c>
      <c r="GJ32" s="311">
        <f t="shared" si="33"/>
        <v>0</v>
      </c>
      <c r="GK32" s="310">
        <f t="shared" si="34"/>
        <v>0.33365384615384613</v>
      </c>
      <c r="GL32" s="311">
        <f t="shared" si="35"/>
        <v>0</v>
      </c>
      <c r="GM32" s="310">
        <f t="shared" si="36"/>
        <v>0.76025159380692164</v>
      </c>
      <c r="GO32" s="266" t="s">
        <v>4</v>
      </c>
      <c r="GP32" s="266" t="s">
        <v>276</v>
      </c>
      <c r="GQ32" s="14" t="str">
        <f>IF(GS32="","",COUNT($GS$4:GS32))</f>
        <v/>
      </c>
      <c r="GR32" s="24" t="str">
        <f t="shared" si="166"/>
        <v/>
      </c>
      <c r="GS32" s="134" t="str">
        <f t="shared" si="181"/>
        <v/>
      </c>
      <c r="GT32" s="66" t="str">
        <f>IF(GS32="","",BP32)</f>
        <v/>
      </c>
      <c r="GU32" s="66" t="str">
        <f>IF(GS32="","",2*BO32)</f>
        <v/>
      </c>
      <c r="GV32" s="265" t="str">
        <f>IF($GS32="","",2*BO31)</f>
        <v/>
      </c>
      <c r="GW32" s="265" t="str">
        <f>IF($GS32="","",2*BP31)</f>
        <v/>
      </c>
      <c r="GX32" s="265" t="str">
        <f t="shared" si="182"/>
        <v/>
      </c>
      <c r="GY32" s="66" t="str">
        <f t="shared" si="183"/>
        <v/>
      </c>
      <c r="GZ32" s="134" t="str">
        <f t="shared" si="184"/>
        <v/>
      </c>
      <c r="HA32" s="14" t="str">
        <f>IF(HC32="","",_xlfn.RANK.EQ(HC32,$HC$4:$HC$44,1)+COUNTIF($HC$4:$HC$44,HC32)-COUNTIF($HC$4:HC32,HC32))</f>
        <v/>
      </c>
      <c r="HB32" s="24" t="str">
        <f t="shared" si="39"/>
        <v/>
      </c>
      <c r="HC32" s="14" t="str">
        <f t="shared" si="0"/>
        <v/>
      </c>
      <c r="HD32" s="24" t="str">
        <f t="shared" si="40"/>
        <v/>
      </c>
      <c r="HE32" s="13" t="str">
        <f t="shared" si="1"/>
        <v/>
      </c>
      <c r="HF32" s="13" t="str">
        <f t="shared" si="169"/>
        <v/>
      </c>
      <c r="HG32" s="13"/>
      <c r="HH32" s="24" t="str">
        <f t="shared" si="3"/>
        <v/>
      </c>
      <c r="HI32" s="66" t="str">
        <f t="shared" si="4"/>
        <v/>
      </c>
      <c r="HJ32" s="82" t="str">
        <f t="shared" si="5"/>
        <v/>
      </c>
      <c r="HK32" s="66" t="str">
        <f t="shared" si="6"/>
        <v/>
      </c>
      <c r="HL32" s="66" t="str">
        <f t="shared" si="7"/>
        <v/>
      </c>
      <c r="HM32" s="66" t="str">
        <f t="shared" si="8"/>
        <v/>
      </c>
      <c r="HN32" s="24" t="str">
        <f t="shared" si="170"/>
        <v/>
      </c>
      <c r="HO32" s="14" t="str">
        <f t="shared" si="9"/>
        <v/>
      </c>
      <c r="HP32" s="24" t="str">
        <f t="shared" si="10"/>
        <v/>
      </c>
      <c r="HQ32" s="24" t="str">
        <f t="shared" si="11"/>
        <v/>
      </c>
      <c r="HR32" s="13" t="str">
        <f t="shared" si="171"/>
        <v/>
      </c>
      <c r="HT32" s="13" t="str">
        <f t="shared" si="12"/>
        <v/>
      </c>
      <c r="HU32" s="75" t="str">
        <f t="shared" si="13"/>
        <v/>
      </c>
      <c r="HV32" s="75" t="str">
        <f t="shared" si="42"/>
        <v/>
      </c>
      <c r="HW32" s="75" t="str">
        <f t="shared" si="14"/>
        <v/>
      </c>
      <c r="HX32" s="75" t="str">
        <f t="shared" si="15"/>
        <v/>
      </c>
      <c r="HY32" s="66" t="str">
        <f t="shared" si="16"/>
        <v/>
      </c>
      <c r="HZ32" s="151" t="str">
        <f t="shared" si="17"/>
        <v/>
      </c>
      <c r="IA32" s="151" t="str">
        <f t="shared" si="18"/>
        <v/>
      </c>
      <c r="IB32" s="151"/>
      <c r="IC32" s="149" t="str">
        <f t="shared" si="19"/>
        <v/>
      </c>
      <c r="ID32" s="151" t="str">
        <f t="shared" si="20"/>
        <v/>
      </c>
      <c r="IE32" s="33" t="str">
        <f t="shared" si="21"/>
        <v/>
      </c>
      <c r="IF32" s="33" t="str">
        <f t="shared" si="22"/>
        <v/>
      </c>
      <c r="IG32" s="33" t="str">
        <f t="shared" si="23"/>
        <v/>
      </c>
      <c r="IH32" s="33" t="str">
        <f t="shared" si="24"/>
        <v/>
      </c>
      <c r="II32" s="33" t="str">
        <f t="shared" si="25"/>
        <v/>
      </c>
      <c r="IM32" s="13"/>
      <c r="IN32" s="13"/>
      <c r="IO32" s="13"/>
      <c r="IP32" s="13"/>
      <c r="IQ32" s="13"/>
    </row>
    <row r="33" spans="1:251" x14ac:dyDescent="0.2">
      <c r="A33" s="9"/>
      <c r="B33" s="423"/>
      <c r="C33" s="154" t="str">
        <f t="shared" si="180"/>
        <v>6       Airframe  6C-Check</v>
      </c>
      <c r="D33" s="154"/>
      <c r="E33" s="424"/>
      <c r="F33" s="424"/>
      <c r="G33" s="425">
        <f t="shared" si="172"/>
        <v>108</v>
      </c>
      <c r="H33" s="425"/>
      <c r="I33" s="426">
        <f t="shared" si="173"/>
        <v>44562</v>
      </c>
      <c r="J33" s="425">
        <f t="shared" si="174"/>
        <v>31500.000000000004</v>
      </c>
      <c r="K33" s="425">
        <f t="shared" si="175"/>
        <v>15750.000000000002</v>
      </c>
      <c r="L33" s="425"/>
      <c r="M33" s="425">
        <f>IF(AND(NOT(C32=""),C33=""),SUM($M$28:M32),IF(C33="","",IF(HZ9="Engine",SUM(IE9:IF9),IE9)))</f>
        <v>264480</v>
      </c>
      <c r="N33" s="154"/>
      <c r="O33" s="156" t="str">
        <f t="shared" si="176"/>
        <v/>
      </c>
      <c r="Q33" s="427" t="str">
        <f>IF(AND(NOT(C32=""),C33=""),SUM($Q$28:Q32),IF(C33="","",IF(HZ9="Engine",IE9,"")))</f>
        <v/>
      </c>
      <c r="R33" s="154"/>
      <c r="S33" s="427" t="str">
        <f>IF(AND(NOT(C32=""),C33=""),SUM($S$28:S32),IF(C33="","",IF(HZ9="Engine",IF9,"")))</f>
        <v/>
      </c>
      <c r="U33" s="425" t="str">
        <f t="shared" si="177"/>
        <v/>
      </c>
      <c r="V33" s="425"/>
      <c r="W33" s="425" t="str">
        <f t="shared" si="178"/>
        <v/>
      </c>
      <c r="X33" s="428" t="str">
        <f>IF(AND(NOT(C32=""),C33=""),SUM($X$28:X32),IF(C33="","",IF(HZ9="Engine",-IG9,"")))</f>
        <v/>
      </c>
      <c r="Y33" s="429" t="str">
        <f t="shared" si="179"/>
        <v/>
      </c>
      <c r="Z33" s="26"/>
      <c r="AC33" s="20">
        <v>3.7</v>
      </c>
      <c r="AD33" s="18">
        <f>AD32-($AD$31-$AD$36)/5</f>
        <v>0.86960000000000004</v>
      </c>
      <c r="AE33" s="18">
        <f>AE32-($AE$31-$AE$36)/5</f>
        <v>1.069</v>
      </c>
      <c r="AF33" s="18">
        <f>AF32-($AF$31-$AF$36)/5</f>
        <v>0.86960000000000004</v>
      </c>
      <c r="AG33" s="18">
        <f>AG32-($AG$31-$AG$36)/5</f>
        <v>1.054</v>
      </c>
      <c r="AH33" s="50">
        <f t="shared" si="156"/>
        <v>2512150</v>
      </c>
      <c r="AI33" s="51">
        <f t="shared" si="157"/>
        <v>81.742400000000004</v>
      </c>
      <c r="AJ33" s="50">
        <f t="shared" si="91"/>
        <v>8306.0866754519011</v>
      </c>
      <c r="AK33" s="50">
        <f t="shared" si="92"/>
        <v>30732.520699172033</v>
      </c>
      <c r="AL33" s="348">
        <f t="shared" si="152"/>
        <v>2600745</v>
      </c>
      <c r="AM33" s="354">
        <f t="shared" si="93"/>
        <v>134.10862500000002</v>
      </c>
      <c r="AN33" s="348">
        <f t="shared" si="94"/>
        <v>5241.3038613590588</v>
      </c>
      <c r="AO33" s="348">
        <f t="shared" si="95"/>
        <v>19392.824287028518</v>
      </c>
      <c r="AP33" s="50"/>
      <c r="AQ33" s="349">
        <f t="shared" si="96"/>
        <v>3.7</v>
      </c>
      <c r="AR33" s="50">
        <f t="shared" si="158"/>
        <v>2600745</v>
      </c>
      <c r="AS33" s="51">
        <f t="shared" si="159"/>
        <v>134.10862500000002</v>
      </c>
      <c r="AT33" s="348">
        <f t="shared" si="160"/>
        <v>5241.3038613590588</v>
      </c>
      <c r="AU33" s="348">
        <f t="shared" si="161"/>
        <v>19392.824287028518</v>
      </c>
      <c r="AV33" s="350">
        <f t="shared" si="49"/>
        <v>2600745</v>
      </c>
      <c r="AW33" s="349">
        <f t="shared" si="162"/>
        <v>134.10862500000002</v>
      </c>
      <c r="AX33" s="348">
        <f t="shared" si="163"/>
        <v>5241.3038613590588</v>
      </c>
      <c r="AY33" s="348">
        <f t="shared" si="164"/>
        <v>19392.824287028518</v>
      </c>
      <c r="AZ33" s="50"/>
      <c r="BA33" s="13"/>
      <c r="BB33" s="50"/>
      <c r="BC33" s="23"/>
      <c r="BD33" s="27"/>
      <c r="BE33" s="23"/>
      <c r="BZ33" s="9"/>
      <c r="CA33" s="9"/>
      <c r="CB33" s="9"/>
      <c r="DM33" s="44">
        <f t="shared" si="129"/>
        <v>27</v>
      </c>
      <c r="DN33" s="41">
        <f t="shared" si="65"/>
        <v>12307520</v>
      </c>
      <c r="DO33" s="41">
        <f t="shared" si="130"/>
        <v>124541.17521367522</v>
      </c>
      <c r="DP33" s="42">
        <f t="shared" si="66"/>
        <v>0</v>
      </c>
      <c r="DQ33" s="42">
        <f t="shared" si="67"/>
        <v>0</v>
      </c>
      <c r="DR33" s="42">
        <f t="shared" si="68"/>
        <v>0</v>
      </c>
      <c r="DS33" s="42">
        <f t="shared" si="69"/>
        <v>0</v>
      </c>
      <c r="DT33" s="42">
        <f t="shared" si="70"/>
        <v>0</v>
      </c>
      <c r="DU33" s="42">
        <f t="shared" si="71"/>
        <v>0</v>
      </c>
      <c r="DV33" s="42">
        <f t="shared" si="72"/>
        <v>0</v>
      </c>
      <c r="DW33" s="42">
        <f t="shared" si="73"/>
        <v>0</v>
      </c>
      <c r="DX33" s="42">
        <f t="shared" si="74"/>
        <v>3142211.7307692282</v>
      </c>
      <c r="DY33" s="42">
        <f>IF(DM33="",DY32,DN33-SUM($DO$6:DO33)+SUM($DP$6:DV33)-SUM($DW$6:DW33))</f>
        <v>9165308.2692307718</v>
      </c>
      <c r="DZ33" s="43">
        <f t="shared" si="131"/>
        <v>0.74469172255911609</v>
      </c>
      <c r="EA33" s="43"/>
      <c r="EB33" s="43" t="str">
        <f t="shared" si="146"/>
        <v>False</v>
      </c>
      <c r="EC33" s="41">
        <f t="shared" si="132"/>
        <v>220400</v>
      </c>
      <c r="ED33" s="41">
        <f t="shared" si="133"/>
        <v>606690</v>
      </c>
      <c r="EE33" s="41">
        <f t="shared" si="75"/>
        <v>902280</v>
      </c>
      <c r="EF33" s="41">
        <f t="shared" si="147"/>
        <v>12244.444444444445</v>
      </c>
      <c r="EG33" s="42">
        <f t="shared" si="134"/>
        <v>8426.25</v>
      </c>
      <c r="EH33" s="42">
        <f t="shared" si="135"/>
        <v>6265.8333333333321</v>
      </c>
      <c r="EI33" s="42">
        <f t="shared" si="76"/>
        <v>110200</v>
      </c>
      <c r="EJ33" s="42">
        <f t="shared" si="136"/>
        <v>227509</v>
      </c>
      <c r="EK33" s="42">
        <f t="shared" si="77"/>
        <v>169178</v>
      </c>
      <c r="EL33" s="42">
        <f>IF(DM33="","",EC33-SUM($EF$6:EF33)+SUM($DP$6:DP33))</f>
        <v>110200.00000000006</v>
      </c>
      <c r="EM33" s="42">
        <f>IF(DM33="","",ED33-SUM($EG$6:EG33)+SUM($DQ$6:DQ33))</f>
        <v>379181.25</v>
      </c>
      <c r="EN33" s="42">
        <f>IF(DM33="","",EE33-SUM($EH$6:EH33)+SUM($DR$6:DR33))</f>
        <v>733102.5</v>
      </c>
      <c r="EO33" s="152">
        <f t="shared" si="148"/>
        <v>0.70689543012773437</v>
      </c>
      <c r="EP33" s="43"/>
      <c r="EQ33" s="42">
        <f t="shared" si="78"/>
        <v>448050</v>
      </c>
      <c r="ER33" s="42">
        <f t="shared" si="79"/>
        <v>248100</v>
      </c>
      <c r="ES33" s="42">
        <f t="shared" si="137"/>
        <v>3733.75</v>
      </c>
      <c r="ET33" s="42">
        <f t="shared" si="138"/>
        <v>6122.9807692307695</v>
      </c>
      <c r="EU33" s="42">
        <f t="shared" si="80"/>
        <v>100811</v>
      </c>
      <c r="EV33" s="42">
        <f t="shared" si="81"/>
        <v>165320</v>
      </c>
      <c r="EW33" s="42">
        <f>IF(DM33="","",IF(DS33&gt;0,DS33,EQ33-SUM($ES$6:ES33)+SUM($DS$6:DS33)))</f>
        <v>347238.75</v>
      </c>
      <c r="EX33" s="42">
        <f>IF(DM33="","",IF(DT33&gt;0,DT33,ER33-SUM($ET$6:ET33)+SUM($DT$6:DT33)))</f>
        <v>82779.51923076922</v>
      </c>
      <c r="EY33" s="43">
        <f t="shared" si="82"/>
        <v>0.33365384615384613</v>
      </c>
      <c r="EZ33" s="43">
        <f t="shared" si="83"/>
        <v>0.77500000000000002</v>
      </c>
      <c r="FA33" s="43"/>
      <c r="FB33" s="42">
        <f t="shared" si="84"/>
        <v>4700000</v>
      </c>
      <c r="FC33" s="42">
        <f t="shared" si="85"/>
        <v>5182000</v>
      </c>
      <c r="FD33" s="41">
        <f t="shared" si="139"/>
        <v>54833.333333333336</v>
      </c>
      <c r="FE33" s="41">
        <f t="shared" si="140"/>
        <v>32914.583333333336</v>
      </c>
      <c r="FF33" s="42">
        <f t="shared" si="86"/>
        <v>1480500</v>
      </c>
      <c r="FG33" s="42">
        <f t="shared" si="87"/>
        <v>888694</v>
      </c>
      <c r="FH33" s="42">
        <f>IF(DM33="","",IF(DU33&gt;0,DU33,FB33-SUM($FD$6:FD33)+SUM($DU$6:DU33)))</f>
        <v>3219500</v>
      </c>
      <c r="FI33" s="42">
        <f>IF(DM33="","",FC33-SUM($FE$6:FE33)+SUM($DV$6:DV33)-SUM($DW$6:DW33))</f>
        <v>4293306.25</v>
      </c>
      <c r="FJ33" s="152">
        <f t="shared" si="88"/>
        <v>0.76025159380692164</v>
      </c>
      <c r="FL33" s="23"/>
      <c r="FP33" s="8"/>
      <c r="FQ33" s="8"/>
      <c r="FR33" s="27">
        <v>3.7</v>
      </c>
      <c r="FS33" s="8"/>
      <c r="FT33" s="8"/>
      <c r="FU33" s="8"/>
      <c r="GC33" s="68">
        <f t="shared" si="26"/>
        <v>28</v>
      </c>
      <c r="GD33" s="78">
        <f t="shared" si="27"/>
        <v>0</v>
      </c>
      <c r="GE33" s="309">
        <f t="shared" si="28"/>
        <v>0.73457261040543476</v>
      </c>
      <c r="GF33" s="78">
        <f t="shared" si="29"/>
        <v>0</v>
      </c>
      <c r="GG33" s="310">
        <f t="shared" si="30"/>
        <v>0.69131951070171349</v>
      </c>
      <c r="GH33" s="78">
        <f t="shared" si="31"/>
        <v>0</v>
      </c>
      <c r="GI33" s="310">
        <f t="shared" si="32"/>
        <v>0.76666666666666672</v>
      </c>
      <c r="GJ33" s="311">
        <f t="shared" si="33"/>
        <v>0</v>
      </c>
      <c r="GK33" s="310">
        <f t="shared" si="34"/>
        <v>0.30897435897435888</v>
      </c>
      <c r="GL33" s="311">
        <f t="shared" si="35"/>
        <v>0</v>
      </c>
      <c r="GM33" s="310">
        <f t="shared" si="36"/>
        <v>0.751372023207178</v>
      </c>
      <c r="GO33" s="266" t="s">
        <v>4</v>
      </c>
      <c r="GP33" s="266" t="s">
        <v>276</v>
      </c>
      <c r="GQ33" s="14" t="str">
        <f>IF(GS33="","",COUNT($GS$4:GS33))</f>
        <v/>
      </c>
      <c r="GR33" s="24" t="str">
        <f>IF(GQ33="","",GP33)</f>
        <v/>
      </c>
      <c r="GS33" s="134" t="str">
        <f t="shared" si="181"/>
        <v/>
      </c>
      <c r="GT33" s="66" t="str">
        <f>IF(GS33="","",BS32)</f>
        <v/>
      </c>
      <c r="GU33" s="66" t="str">
        <f>IF(GS33="","",2*BR32)</f>
        <v/>
      </c>
      <c r="GV33" s="265" t="str">
        <f>IF($GS33="","",2*BR31)</f>
        <v/>
      </c>
      <c r="GW33" s="265" t="str">
        <f>IF($GS33="","",2*BS31)</f>
        <v/>
      </c>
      <c r="GX33" s="265" t="str">
        <f t="shared" si="182"/>
        <v/>
      </c>
      <c r="GY33" s="66" t="str">
        <f t="shared" si="183"/>
        <v/>
      </c>
      <c r="GZ33" s="134" t="str">
        <f t="shared" si="184"/>
        <v/>
      </c>
      <c r="HA33" s="14" t="str">
        <f>IF(HC33="","",_xlfn.RANK.EQ(HC33,$HC$4:$HC$44,1)+COUNTIF($HC$4:$HC$44,HC33)-COUNTIF($HC$4:HC33,HC33))</f>
        <v/>
      </c>
      <c r="HB33" s="24" t="str">
        <f t="shared" si="39"/>
        <v/>
      </c>
      <c r="HC33" s="14" t="str">
        <f t="shared" si="0"/>
        <v/>
      </c>
      <c r="HD33" s="24" t="str">
        <f t="shared" si="40"/>
        <v/>
      </c>
      <c r="HE33" s="13" t="str">
        <f t="shared" si="1"/>
        <v/>
      </c>
      <c r="HF33" s="13" t="str">
        <f t="shared" si="169"/>
        <v/>
      </c>
      <c r="HG33" s="13"/>
      <c r="HH33" s="24" t="str">
        <f t="shared" si="3"/>
        <v/>
      </c>
      <c r="HI33" s="66" t="str">
        <f t="shared" si="4"/>
        <v/>
      </c>
      <c r="HJ33" s="82" t="str">
        <f t="shared" si="5"/>
        <v/>
      </c>
      <c r="HK33" s="66" t="str">
        <f t="shared" si="6"/>
        <v/>
      </c>
      <c r="HL33" s="66" t="str">
        <f t="shared" si="7"/>
        <v/>
      </c>
      <c r="HM33" s="66" t="str">
        <f t="shared" si="8"/>
        <v/>
      </c>
      <c r="HN33" s="24" t="str">
        <f t="shared" si="170"/>
        <v/>
      </c>
      <c r="HO33" s="14" t="str">
        <f t="shared" si="9"/>
        <v/>
      </c>
      <c r="HP33" s="24" t="str">
        <f t="shared" si="10"/>
        <v/>
      </c>
      <c r="HQ33" s="24" t="str">
        <f t="shared" si="11"/>
        <v/>
      </c>
      <c r="HR33" s="13" t="str">
        <f t="shared" si="171"/>
        <v/>
      </c>
      <c r="HT33" s="13" t="str">
        <f t="shared" si="12"/>
        <v/>
      </c>
      <c r="HU33" s="75" t="str">
        <f t="shared" si="13"/>
        <v/>
      </c>
      <c r="HV33" s="75" t="str">
        <f t="shared" si="42"/>
        <v/>
      </c>
      <c r="HW33" s="75" t="str">
        <f t="shared" si="14"/>
        <v/>
      </c>
      <c r="HX33" s="75" t="str">
        <f t="shared" si="15"/>
        <v/>
      </c>
      <c r="HY33" s="66" t="str">
        <f t="shared" si="16"/>
        <v/>
      </c>
      <c r="HZ33" s="151" t="str">
        <f t="shared" si="17"/>
        <v/>
      </c>
      <c r="IA33" s="151" t="str">
        <f t="shared" si="18"/>
        <v/>
      </c>
      <c r="IB33" s="151"/>
      <c r="IC33" s="149" t="str">
        <f t="shared" si="19"/>
        <v/>
      </c>
      <c r="ID33" s="151" t="str">
        <f t="shared" si="20"/>
        <v/>
      </c>
      <c r="IE33" s="33" t="str">
        <f t="shared" si="21"/>
        <v/>
      </c>
      <c r="IF33" s="33" t="str">
        <f t="shared" si="22"/>
        <v/>
      </c>
      <c r="IG33" s="33" t="str">
        <f t="shared" si="23"/>
        <v/>
      </c>
      <c r="IH33" s="33" t="str">
        <f t="shared" si="24"/>
        <v/>
      </c>
      <c r="II33" s="33" t="str">
        <f t="shared" si="25"/>
        <v/>
      </c>
      <c r="IM33" s="13"/>
      <c r="IN33" s="13"/>
      <c r="IO33" s="13"/>
      <c r="IP33" s="13"/>
      <c r="IQ33" s="13"/>
    </row>
    <row r="34" spans="1:251" ht="11.25" customHeight="1" x14ac:dyDescent="0.2">
      <c r="A34" s="9"/>
      <c r="B34" s="423"/>
      <c r="C34" s="154" t="str">
        <f t="shared" si="180"/>
        <v>7       Airframe  7C-Check</v>
      </c>
      <c r="D34" s="154"/>
      <c r="E34" s="424"/>
      <c r="F34" s="424"/>
      <c r="G34" s="425">
        <f t="shared" si="172"/>
        <v>126</v>
      </c>
      <c r="H34" s="425"/>
      <c r="I34" s="426">
        <f t="shared" si="173"/>
        <v>45108</v>
      </c>
      <c r="J34" s="425">
        <f t="shared" si="174"/>
        <v>36750</v>
      </c>
      <c r="K34" s="425">
        <f t="shared" si="175"/>
        <v>18375</v>
      </c>
      <c r="L34" s="425"/>
      <c r="M34" s="425">
        <f>IF(AND(NOT(C33=""),C34=""),SUM($M$28:M33),IF(C34="","",IF(HZ10="Engine",SUM(IE10:IF10),IE10)))</f>
        <v>222480</v>
      </c>
      <c r="N34" s="154"/>
      <c r="O34" s="156" t="str">
        <f t="shared" si="176"/>
        <v/>
      </c>
      <c r="Q34" s="427" t="str">
        <f>IF(AND(NOT(C33=""),C34=""),SUM($Q$28:Q33),IF(C34="","",IF(HZ10="Engine",IE10,"")))</f>
        <v/>
      </c>
      <c r="R34" s="154"/>
      <c r="S34" s="427" t="str">
        <f>IF(AND(NOT(C33=""),C34=""),SUM($S$28:S33),IF(C34="","",IF(HZ10="Engine",IF10,"")))</f>
        <v/>
      </c>
      <c r="U34" s="425" t="str">
        <f t="shared" si="177"/>
        <v/>
      </c>
      <c r="V34" s="425"/>
      <c r="W34" s="425" t="str">
        <f t="shared" si="178"/>
        <v/>
      </c>
      <c r="X34" s="428" t="str">
        <f>IF(AND(NOT(C33=""),C34=""),SUM($X$28:X33),IF(C34="","",IF(HZ10="Engine",-IG10,"")))</f>
        <v/>
      </c>
      <c r="Y34" s="429" t="str">
        <f t="shared" si="179"/>
        <v/>
      </c>
      <c r="Z34" s="26"/>
      <c r="AC34" s="20">
        <v>3.8</v>
      </c>
      <c r="AD34" s="18">
        <f>AD33-($AD$31-$AD$36)/5</f>
        <v>0.86640000000000006</v>
      </c>
      <c r="AE34" s="18">
        <f>AE33-($AE$31-$AE$36)/5</f>
        <v>1.071</v>
      </c>
      <c r="AF34" s="18">
        <f>AF33-($AF$31-$AF$36)/5</f>
        <v>0.86640000000000006</v>
      </c>
      <c r="AG34" s="18">
        <f>AG33-($AG$31-$AG$36)/5</f>
        <v>1.056</v>
      </c>
      <c r="AH34" s="50">
        <f t="shared" si="156"/>
        <v>2516850</v>
      </c>
      <c r="AI34" s="51">
        <f t="shared" si="157"/>
        <v>81.441600000000008</v>
      </c>
      <c r="AJ34" s="50">
        <f t="shared" si="91"/>
        <v>8132.563055839043</v>
      </c>
      <c r="AK34" s="50">
        <f t="shared" si="92"/>
        <v>30903.739612188361</v>
      </c>
      <c r="AL34" s="348">
        <f t="shared" si="152"/>
        <v>2605680</v>
      </c>
      <c r="AM34" s="354">
        <f t="shared" si="93"/>
        <v>133.61512500000001</v>
      </c>
      <c r="AN34" s="348">
        <f t="shared" si="94"/>
        <v>5131.9434319871707</v>
      </c>
      <c r="AO34" s="348">
        <f t="shared" si="95"/>
        <v>19501.385041551246</v>
      </c>
      <c r="AP34" s="50"/>
      <c r="AQ34" s="349">
        <f t="shared" si="96"/>
        <v>3.8</v>
      </c>
      <c r="AR34" s="50">
        <f t="shared" si="158"/>
        <v>2605680</v>
      </c>
      <c r="AS34" s="51">
        <f t="shared" si="159"/>
        <v>133.61512500000001</v>
      </c>
      <c r="AT34" s="348">
        <f t="shared" si="160"/>
        <v>5131.9434319871707</v>
      </c>
      <c r="AU34" s="348">
        <f t="shared" si="161"/>
        <v>19501.385041551246</v>
      </c>
      <c r="AV34" s="350">
        <f t="shared" si="49"/>
        <v>2605680</v>
      </c>
      <c r="AW34" s="349">
        <f t="shared" si="162"/>
        <v>133.61512500000001</v>
      </c>
      <c r="AX34" s="348">
        <f t="shared" si="163"/>
        <v>5131.9434319871707</v>
      </c>
      <c r="AY34" s="348">
        <f t="shared" si="164"/>
        <v>19501.385041551246</v>
      </c>
      <c r="AZ34" s="50"/>
      <c r="BA34" s="50"/>
      <c r="BB34" s="50"/>
      <c r="BC34" s="23"/>
      <c r="BD34" s="27"/>
      <c r="BE34" s="23"/>
      <c r="BG34" s="35"/>
      <c r="BL34" s="35"/>
      <c r="BO34" s="23"/>
      <c r="BR34" s="23"/>
      <c r="BU34" s="23"/>
      <c r="BX34" s="23"/>
      <c r="BZ34" s="9"/>
      <c r="CA34" s="23"/>
      <c r="CB34" s="9"/>
      <c r="CD34" s="23"/>
      <c r="CG34" s="23"/>
      <c r="CJ34" s="23"/>
      <c r="DM34" s="44">
        <f t="shared" si="129"/>
        <v>28</v>
      </c>
      <c r="DN34" s="41">
        <f t="shared" si="65"/>
        <v>12307520</v>
      </c>
      <c r="DO34" s="41">
        <f t="shared" si="130"/>
        <v>124541.17521367522</v>
      </c>
      <c r="DP34" s="42">
        <f t="shared" si="66"/>
        <v>0</v>
      </c>
      <c r="DQ34" s="42">
        <f t="shared" si="67"/>
        <v>0</v>
      </c>
      <c r="DR34" s="42">
        <f t="shared" si="68"/>
        <v>0</v>
      </c>
      <c r="DS34" s="42">
        <f t="shared" si="69"/>
        <v>0</v>
      </c>
      <c r="DT34" s="42">
        <f t="shared" si="70"/>
        <v>0</v>
      </c>
      <c r="DU34" s="42">
        <f t="shared" si="71"/>
        <v>0</v>
      </c>
      <c r="DV34" s="42">
        <f t="shared" si="72"/>
        <v>0</v>
      </c>
      <c r="DW34" s="42">
        <f t="shared" si="73"/>
        <v>0</v>
      </c>
      <c r="DX34" s="42">
        <f t="shared" si="74"/>
        <v>3266752.9059829041</v>
      </c>
      <c r="DY34" s="42">
        <f>IF(DM34="",DY33,DN34-SUM($DO$6:DO34)+SUM($DP$6:DV34)-SUM($DW$6:DW34))</f>
        <v>9040767.0940170959</v>
      </c>
      <c r="DZ34" s="43">
        <f t="shared" si="131"/>
        <v>0.73457261040543476</v>
      </c>
      <c r="EA34" s="43"/>
      <c r="EB34" s="43" t="str">
        <f t="shared" si="146"/>
        <v>False</v>
      </c>
      <c r="EC34" s="41">
        <f t="shared" si="132"/>
        <v>220400</v>
      </c>
      <c r="ED34" s="41">
        <f t="shared" si="133"/>
        <v>606690</v>
      </c>
      <c r="EE34" s="41">
        <f t="shared" si="75"/>
        <v>902280</v>
      </c>
      <c r="EF34" s="41">
        <f t="shared" si="147"/>
        <v>12244.444444444445</v>
      </c>
      <c r="EG34" s="42">
        <f t="shared" si="134"/>
        <v>8426.25</v>
      </c>
      <c r="EH34" s="42">
        <f t="shared" si="135"/>
        <v>6265.8333333333321</v>
      </c>
      <c r="EI34" s="42">
        <f t="shared" si="76"/>
        <v>122444</v>
      </c>
      <c r="EJ34" s="42">
        <f t="shared" si="136"/>
        <v>235935</v>
      </c>
      <c r="EK34" s="42">
        <f t="shared" si="77"/>
        <v>175443</v>
      </c>
      <c r="EL34" s="42">
        <f>IF(DM34="","",EC34-SUM($EF$6:EF34)+SUM($DP$6:DP34))</f>
        <v>97955.55555555562</v>
      </c>
      <c r="EM34" s="42">
        <f>IF(DM34="","",ED34-SUM($EG$6:EG34)+SUM($DQ$6:DQ34))</f>
        <v>370755</v>
      </c>
      <c r="EN34" s="42">
        <f>IF(DM34="","",EE34-SUM($EH$6:EH34)+SUM($DR$6:DR34))</f>
        <v>726836.66666666663</v>
      </c>
      <c r="EO34" s="152">
        <f t="shared" si="148"/>
        <v>0.69131951070171349</v>
      </c>
      <c r="EP34" s="43"/>
      <c r="EQ34" s="42">
        <f t="shared" si="78"/>
        <v>448050</v>
      </c>
      <c r="ER34" s="42">
        <f t="shared" si="79"/>
        <v>248100</v>
      </c>
      <c r="ES34" s="42">
        <f t="shared" si="137"/>
        <v>3733.75</v>
      </c>
      <c r="ET34" s="42">
        <f t="shared" si="138"/>
        <v>6122.9807692307695</v>
      </c>
      <c r="EU34" s="42">
        <f t="shared" si="80"/>
        <v>104545</v>
      </c>
      <c r="EV34" s="42">
        <f t="shared" si="81"/>
        <v>171443</v>
      </c>
      <c r="EW34" s="42">
        <f>IF(DM34="","",IF(DS34&gt;0,DS34,EQ34-SUM($ES$6:ES34)+SUM($DS$6:DS34)))</f>
        <v>343505</v>
      </c>
      <c r="EX34" s="42">
        <f>IF(DM34="","",IF(DT34&gt;0,DT34,ER34-SUM($ET$6:ET34)+SUM($DT$6:DT34)))</f>
        <v>76656.538461538439</v>
      </c>
      <c r="EY34" s="43">
        <f t="shared" si="82"/>
        <v>0.30897435897435888</v>
      </c>
      <c r="EZ34" s="43">
        <f t="shared" si="83"/>
        <v>0.76666666666666672</v>
      </c>
      <c r="FA34" s="43"/>
      <c r="FB34" s="42">
        <f t="shared" si="84"/>
        <v>4700000</v>
      </c>
      <c r="FC34" s="42">
        <f t="shared" si="85"/>
        <v>5182000</v>
      </c>
      <c r="FD34" s="41">
        <f t="shared" si="139"/>
        <v>54833.333333333336</v>
      </c>
      <c r="FE34" s="41">
        <f t="shared" si="140"/>
        <v>32914.583333333336</v>
      </c>
      <c r="FF34" s="42">
        <f t="shared" si="86"/>
        <v>1535333</v>
      </c>
      <c r="FG34" s="42">
        <f t="shared" si="87"/>
        <v>921608</v>
      </c>
      <c r="FH34" s="42">
        <f>IF(DM34="","",IF(DU34&gt;0,DU34,FB34-SUM($FD$6:FD34)+SUM($DU$6:DU34)))</f>
        <v>3164666.666666667</v>
      </c>
      <c r="FI34" s="42">
        <f>IF(DM34="","",FC34-SUM($FE$6:FE34)+SUM($DV$6:DV34)-SUM($DW$6:DW34))</f>
        <v>4260391.666666666</v>
      </c>
      <c r="FJ34" s="152">
        <f t="shared" si="88"/>
        <v>0.751372023207178</v>
      </c>
      <c r="FP34" s="8"/>
      <c r="FQ34" s="8"/>
      <c r="FR34" s="27">
        <v>3.8</v>
      </c>
      <c r="FS34" s="8"/>
      <c r="FT34" s="8"/>
      <c r="FU34" s="8"/>
      <c r="GC34" s="68">
        <f t="shared" si="26"/>
        <v>29</v>
      </c>
      <c r="GD34" s="78">
        <f t="shared" si="27"/>
        <v>0</v>
      </c>
      <c r="GE34" s="309">
        <f t="shared" si="28"/>
        <v>0.72445349825175342</v>
      </c>
      <c r="GF34" s="78">
        <f t="shared" si="29"/>
        <v>0</v>
      </c>
      <c r="GG34" s="310">
        <f t="shared" si="30"/>
        <v>0.67574359127569261</v>
      </c>
      <c r="GH34" s="78">
        <f t="shared" si="31"/>
        <v>0</v>
      </c>
      <c r="GI34" s="310">
        <f t="shared" si="32"/>
        <v>0.7583333333333333</v>
      </c>
      <c r="GJ34" s="311">
        <f t="shared" si="33"/>
        <v>0</v>
      </c>
      <c r="GK34" s="310">
        <f t="shared" si="34"/>
        <v>0.28429487179487167</v>
      </c>
      <c r="GL34" s="311">
        <f t="shared" si="35"/>
        <v>0</v>
      </c>
      <c r="GM34" s="310">
        <f t="shared" si="36"/>
        <v>0.74249245260743446</v>
      </c>
      <c r="GO34" s="266" t="s">
        <v>4</v>
      </c>
      <c r="GP34" s="266" t="s">
        <v>276</v>
      </c>
      <c r="GQ34" s="14" t="str">
        <f>IF(GS34="","",COUNT($GS$4:GS34))</f>
        <v/>
      </c>
      <c r="GR34" s="24" t="str">
        <f t="shared" si="166"/>
        <v/>
      </c>
      <c r="GS34" s="134" t="str">
        <f t="shared" si="181"/>
        <v/>
      </c>
      <c r="GT34" s="66" t="str">
        <f>IF(GS34="","",BV32)</f>
        <v/>
      </c>
      <c r="GU34" s="66" t="str">
        <f>IF(GS34="","",2*BU32)</f>
        <v/>
      </c>
      <c r="GV34" s="265" t="str">
        <f>IF($GS34="","",2*BU31)</f>
        <v/>
      </c>
      <c r="GW34" s="265" t="str">
        <f>IF($GS34="","",2*BV31)</f>
        <v/>
      </c>
      <c r="GX34" s="265" t="str">
        <f t="shared" si="182"/>
        <v/>
      </c>
      <c r="GY34" s="66" t="str">
        <f t="shared" si="183"/>
        <v/>
      </c>
      <c r="GZ34" s="134" t="str">
        <f t="shared" si="184"/>
        <v/>
      </c>
      <c r="HA34" s="14" t="str">
        <f>IF(HC34="","",_xlfn.RANK.EQ(HC34,$HC$4:$HC$44,1)+COUNTIF($HC$4:$HC$44,HC34)-COUNTIF($HC$4:HC34,HC34))</f>
        <v/>
      </c>
      <c r="HB34" s="24" t="str">
        <f t="shared" si="39"/>
        <v/>
      </c>
      <c r="HC34" s="14" t="str">
        <f t="shared" si="0"/>
        <v/>
      </c>
      <c r="HD34" s="24" t="str">
        <f t="shared" si="40"/>
        <v/>
      </c>
      <c r="HE34" s="13" t="str">
        <f t="shared" si="1"/>
        <v/>
      </c>
      <c r="HF34" s="13" t="str">
        <f t="shared" si="169"/>
        <v/>
      </c>
      <c r="HG34" s="13"/>
      <c r="HH34" s="24" t="str">
        <f t="shared" si="3"/>
        <v/>
      </c>
      <c r="HI34" s="66" t="str">
        <f t="shared" si="4"/>
        <v/>
      </c>
      <c r="HJ34" s="82" t="str">
        <f t="shared" si="5"/>
        <v/>
      </c>
      <c r="HK34" s="66" t="str">
        <f t="shared" si="6"/>
        <v/>
      </c>
      <c r="HL34" s="66" t="str">
        <f t="shared" si="7"/>
        <v/>
      </c>
      <c r="HM34" s="66" t="str">
        <f t="shared" si="8"/>
        <v/>
      </c>
      <c r="HN34" s="24" t="str">
        <f t="shared" si="170"/>
        <v/>
      </c>
      <c r="HO34" s="14" t="str">
        <f t="shared" si="9"/>
        <v/>
      </c>
      <c r="HP34" s="24" t="str">
        <f t="shared" si="10"/>
        <v/>
      </c>
      <c r="HQ34" s="24" t="str">
        <f t="shared" si="11"/>
        <v/>
      </c>
      <c r="HR34" s="13" t="str">
        <f t="shared" si="171"/>
        <v/>
      </c>
      <c r="HT34" s="13" t="str">
        <f t="shared" si="12"/>
        <v/>
      </c>
      <c r="HU34" s="75" t="str">
        <f t="shared" si="13"/>
        <v/>
      </c>
      <c r="HV34" s="75" t="str">
        <f t="shared" si="42"/>
        <v/>
      </c>
      <c r="HW34" s="75" t="str">
        <f t="shared" si="14"/>
        <v/>
      </c>
      <c r="HX34" s="75" t="str">
        <f t="shared" si="15"/>
        <v/>
      </c>
      <c r="HY34" s="66" t="str">
        <f t="shared" si="16"/>
        <v/>
      </c>
      <c r="HZ34" s="151" t="str">
        <f t="shared" si="17"/>
        <v/>
      </c>
      <c r="IA34" s="151" t="str">
        <f t="shared" si="18"/>
        <v/>
      </c>
      <c r="IB34" s="151"/>
      <c r="IC34" s="149" t="str">
        <f t="shared" si="19"/>
        <v/>
      </c>
      <c r="ID34" s="151" t="str">
        <f t="shared" si="20"/>
        <v/>
      </c>
      <c r="IE34" s="33" t="str">
        <f t="shared" si="21"/>
        <v/>
      </c>
      <c r="IF34" s="33" t="str">
        <f t="shared" si="22"/>
        <v/>
      </c>
      <c r="IG34" s="33" t="str">
        <f t="shared" si="23"/>
        <v/>
      </c>
      <c r="IH34" s="33" t="str">
        <f t="shared" si="24"/>
        <v/>
      </c>
      <c r="II34" s="33" t="str">
        <f t="shared" si="25"/>
        <v/>
      </c>
      <c r="IM34" s="13"/>
      <c r="IN34" s="13"/>
      <c r="IO34" s="13"/>
      <c r="IP34" s="13"/>
      <c r="IQ34" s="13"/>
    </row>
    <row r="35" spans="1:251" x14ac:dyDescent="0.2">
      <c r="A35" s="9"/>
      <c r="B35" s="423"/>
      <c r="C35" s="154" t="str">
        <f t="shared" si="180"/>
        <v>8       Airframe  8C-Check</v>
      </c>
      <c r="D35" s="154"/>
      <c r="E35" s="424"/>
      <c r="F35" s="424"/>
      <c r="G35" s="425">
        <f t="shared" si="172"/>
        <v>144</v>
      </c>
      <c r="H35" s="425"/>
      <c r="I35" s="426">
        <f t="shared" si="173"/>
        <v>45658</v>
      </c>
      <c r="J35" s="425">
        <f t="shared" si="174"/>
        <v>42000</v>
      </c>
      <c r="K35" s="425">
        <f t="shared" si="175"/>
        <v>21000</v>
      </c>
      <c r="L35" s="425"/>
      <c r="M35" s="425">
        <f>IF(AND(NOT(C34=""),C35=""),SUM($M$28:M34),IF(C35="","",IF(HZ11="Engine",SUM(IE11:IF11),IE11)))</f>
        <v>264480</v>
      </c>
      <c r="N35" s="154"/>
      <c r="O35" s="156" t="str">
        <f t="shared" si="176"/>
        <v/>
      </c>
      <c r="Q35" s="427" t="str">
        <f>IF(AND(NOT(C34=""),C35=""),SUM($Q$28:Q34),IF(C35="","",IF(HZ11="Engine",IE11,"")))</f>
        <v/>
      </c>
      <c r="R35" s="154"/>
      <c r="S35" s="427" t="str">
        <f>IF(AND(NOT(C34=""),C35=""),SUM($S$28:S34),IF(C35="","",IF(HZ11="Engine",IF11,"")))</f>
        <v/>
      </c>
      <c r="U35" s="425" t="str">
        <f t="shared" si="177"/>
        <v/>
      </c>
      <c r="V35" s="425"/>
      <c r="W35" s="425" t="str">
        <f t="shared" si="178"/>
        <v/>
      </c>
      <c r="X35" s="428" t="str">
        <f>IF(AND(NOT(C34=""),C35=""),SUM($X$28:X34),IF(C35="","",IF(HZ11="Engine",-IG11,"")))</f>
        <v/>
      </c>
      <c r="Y35" s="429" t="str">
        <f t="shared" si="179"/>
        <v/>
      </c>
      <c r="Z35" s="26"/>
      <c r="AC35" s="20">
        <v>3.9</v>
      </c>
      <c r="AD35" s="18">
        <f>AD34-($AD$31-$AD$36)/5</f>
        <v>0.86320000000000008</v>
      </c>
      <c r="AE35" s="18">
        <f>AE34-($AE$31-$AE$36)/5</f>
        <v>1.073</v>
      </c>
      <c r="AF35" s="18">
        <f>AF34-($AF$31-$AF$36)/5</f>
        <v>0.86320000000000008</v>
      </c>
      <c r="AG35" s="18">
        <f>AG34-($AG$31-$AG$36)/5</f>
        <v>1.0580000000000001</v>
      </c>
      <c r="AH35" s="50">
        <f t="shared" si="156"/>
        <v>2521550</v>
      </c>
      <c r="AI35" s="51">
        <f t="shared" si="157"/>
        <v>81.140800000000013</v>
      </c>
      <c r="AJ35" s="50">
        <f t="shared" si="91"/>
        <v>7968.2635868919451</v>
      </c>
      <c r="AK35" s="50">
        <f t="shared" si="92"/>
        <v>31076.227988878585</v>
      </c>
      <c r="AL35" s="348">
        <f t="shared" si="152"/>
        <v>2610615</v>
      </c>
      <c r="AM35" s="354">
        <f t="shared" si="93"/>
        <v>133.12162500000002</v>
      </c>
      <c r="AN35" s="348">
        <f t="shared" si="94"/>
        <v>5028.3976141251387</v>
      </c>
      <c r="AO35" s="348">
        <f t="shared" si="95"/>
        <v>19610.750695088042</v>
      </c>
      <c r="AP35" s="50"/>
      <c r="AQ35" s="349">
        <f t="shared" si="96"/>
        <v>3.9</v>
      </c>
      <c r="AR35" s="50">
        <f t="shared" si="158"/>
        <v>2610615</v>
      </c>
      <c r="AS35" s="51">
        <f t="shared" si="159"/>
        <v>133.12162500000002</v>
      </c>
      <c r="AT35" s="348">
        <f t="shared" si="160"/>
        <v>5028.3976141251387</v>
      </c>
      <c r="AU35" s="348">
        <f t="shared" si="161"/>
        <v>19610.750695088042</v>
      </c>
      <c r="AV35" s="350">
        <f t="shared" si="49"/>
        <v>2610615</v>
      </c>
      <c r="AW35" s="349">
        <f t="shared" si="162"/>
        <v>133.12162500000002</v>
      </c>
      <c r="AX35" s="348">
        <f t="shared" si="163"/>
        <v>5028.3976141251387</v>
      </c>
      <c r="AY35" s="348">
        <f t="shared" si="164"/>
        <v>19610.750695088042</v>
      </c>
      <c r="AZ35" s="50"/>
      <c r="BA35" s="50"/>
      <c r="BB35" s="50"/>
      <c r="BC35" s="23"/>
      <c r="BD35" s="27"/>
      <c r="BE35" s="23"/>
      <c r="BZ35" s="9"/>
      <c r="CA35" s="9"/>
      <c r="CB35" s="9"/>
      <c r="DM35" s="44">
        <f t="shared" si="129"/>
        <v>29</v>
      </c>
      <c r="DN35" s="41">
        <f t="shared" si="65"/>
        <v>12307520</v>
      </c>
      <c r="DO35" s="41">
        <f t="shared" si="130"/>
        <v>124541.17521367522</v>
      </c>
      <c r="DP35" s="42">
        <f t="shared" si="66"/>
        <v>0</v>
      </c>
      <c r="DQ35" s="42">
        <f t="shared" si="67"/>
        <v>0</v>
      </c>
      <c r="DR35" s="42">
        <f t="shared" si="68"/>
        <v>0</v>
      </c>
      <c r="DS35" s="42">
        <f t="shared" si="69"/>
        <v>0</v>
      </c>
      <c r="DT35" s="42">
        <f t="shared" si="70"/>
        <v>0</v>
      </c>
      <c r="DU35" s="42">
        <f t="shared" si="71"/>
        <v>0</v>
      </c>
      <c r="DV35" s="42">
        <f t="shared" si="72"/>
        <v>0</v>
      </c>
      <c r="DW35" s="42">
        <f t="shared" si="73"/>
        <v>0</v>
      </c>
      <c r="DX35" s="42">
        <f t="shared" si="74"/>
        <v>3391294.0811965801</v>
      </c>
      <c r="DY35" s="42">
        <f>IF(DM35="",DY34,DN35-SUM($DO$6:DO35)+SUM($DP$6:DV35)-SUM($DW$6:DW35))</f>
        <v>8916225.9188034199</v>
      </c>
      <c r="DZ35" s="43">
        <f t="shared" si="131"/>
        <v>0.72445349825175342</v>
      </c>
      <c r="EA35" s="43"/>
      <c r="EB35" s="43" t="str">
        <f t="shared" si="146"/>
        <v>False</v>
      </c>
      <c r="EC35" s="41">
        <f t="shared" si="132"/>
        <v>220400</v>
      </c>
      <c r="ED35" s="41">
        <f t="shared" si="133"/>
        <v>606690</v>
      </c>
      <c r="EE35" s="41">
        <f t="shared" si="75"/>
        <v>902280</v>
      </c>
      <c r="EF35" s="41">
        <f t="shared" si="147"/>
        <v>12244.444444444445</v>
      </c>
      <c r="EG35" s="42">
        <f t="shared" si="134"/>
        <v>8426.25</v>
      </c>
      <c r="EH35" s="42">
        <f t="shared" si="135"/>
        <v>6265.8333333333321</v>
      </c>
      <c r="EI35" s="42">
        <f t="shared" si="76"/>
        <v>134689</v>
      </c>
      <c r="EJ35" s="42">
        <f t="shared" si="136"/>
        <v>244361</v>
      </c>
      <c r="EK35" s="42">
        <f t="shared" si="77"/>
        <v>181709</v>
      </c>
      <c r="EL35" s="42">
        <f>IF(DM35="","",EC35-SUM($EF$6:EF35)+SUM($DP$6:DP35))</f>
        <v>85711.111111111182</v>
      </c>
      <c r="EM35" s="42">
        <f>IF(DM35="","",ED35-SUM($EG$6:EG35)+SUM($DQ$6:DQ35))</f>
        <v>362328.75</v>
      </c>
      <c r="EN35" s="42">
        <f>IF(DM35="","",EE35-SUM($EH$6:EH35)+SUM($DR$6:DR35))</f>
        <v>720570.83333333326</v>
      </c>
      <c r="EO35" s="152">
        <f t="shared" si="148"/>
        <v>0.67574359127569261</v>
      </c>
      <c r="EP35" s="43"/>
      <c r="EQ35" s="42">
        <f t="shared" si="78"/>
        <v>448050</v>
      </c>
      <c r="ER35" s="42">
        <f t="shared" si="79"/>
        <v>248100</v>
      </c>
      <c r="ES35" s="42">
        <f t="shared" si="137"/>
        <v>3733.75</v>
      </c>
      <c r="ET35" s="42">
        <f t="shared" si="138"/>
        <v>6122.9807692307695</v>
      </c>
      <c r="EU35" s="42">
        <f t="shared" si="80"/>
        <v>108279</v>
      </c>
      <c r="EV35" s="42">
        <f t="shared" si="81"/>
        <v>177566</v>
      </c>
      <c r="EW35" s="42">
        <f>IF(DM35="","",IF(DS35&gt;0,DS35,EQ35-SUM($ES$6:ES35)+SUM($DS$6:DS35)))</f>
        <v>339771.25</v>
      </c>
      <c r="EX35" s="42">
        <f>IF(DM35="","",IF(DT35&gt;0,DT35,ER35-SUM($ET$6:ET35)+SUM($DT$6:DT35)))</f>
        <v>70533.557692307659</v>
      </c>
      <c r="EY35" s="43">
        <f t="shared" si="82"/>
        <v>0.28429487179487167</v>
      </c>
      <c r="EZ35" s="43">
        <f t="shared" si="83"/>
        <v>0.7583333333333333</v>
      </c>
      <c r="FA35" s="43"/>
      <c r="FB35" s="42">
        <f t="shared" si="84"/>
        <v>4700000</v>
      </c>
      <c r="FC35" s="42">
        <f t="shared" si="85"/>
        <v>5182000</v>
      </c>
      <c r="FD35" s="41">
        <f t="shared" si="139"/>
        <v>54833.333333333336</v>
      </c>
      <c r="FE35" s="41">
        <f t="shared" si="140"/>
        <v>32914.583333333336</v>
      </c>
      <c r="FF35" s="42">
        <f t="shared" si="86"/>
        <v>1590167</v>
      </c>
      <c r="FG35" s="42">
        <f t="shared" si="87"/>
        <v>954523</v>
      </c>
      <c r="FH35" s="42">
        <f>IF(DM35="","",IF(DU35&gt;0,DU35,FB35-SUM($FD$6:FD35)+SUM($DU$6:DU35)))</f>
        <v>3109833.333333334</v>
      </c>
      <c r="FI35" s="42">
        <f>IF(DM35="","",FC35-SUM($FE$6:FE35)+SUM($DV$6:DV35)-SUM($DW$6:DW35))</f>
        <v>4227477.083333333</v>
      </c>
      <c r="FJ35" s="152">
        <f t="shared" si="88"/>
        <v>0.74249245260743446</v>
      </c>
      <c r="FP35" s="8"/>
      <c r="FQ35" s="8"/>
      <c r="FR35" s="27">
        <v>3.9</v>
      </c>
      <c r="FS35" s="8"/>
      <c r="FT35" s="8"/>
      <c r="FU35" s="8"/>
      <c r="GC35" s="68">
        <f t="shared" si="26"/>
        <v>30</v>
      </c>
      <c r="GD35" s="78">
        <f t="shared" si="27"/>
        <v>0</v>
      </c>
      <c r="GE35" s="309">
        <f t="shared" si="28"/>
        <v>0.7143343860980722</v>
      </c>
      <c r="GF35" s="78">
        <f t="shared" si="29"/>
        <v>0</v>
      </c>
      <c r="GG35" s="310">
        <f t="shared" si="30"/>
        <v>0.66016767184967173</v>
      </c>
      <c r="GH35" s="78">
        <f t="shared" si="31"/>
        <v>0</v>
      </c>
      <c r="GI35" s="310">
        <f t="shared" si="32"/>
        <v>0.75</v>
      </c>
      <c r="GJ35" s="311">
        <f t="shared" si="33"/>
        <v>0</v>
      </c>
      <c r="GK35" s="310">
        <f t="shared" si="34"/>
        <v>0.25961538461538441</v>
      </c>
      <c r="GL35" s="311">
        <f t="shared" si="35"/>
        <v>0</v>
      </c>
      <c r="GM35" s="310">
        <f t="shared" si="36"/>
        <v>0.7336128820076907</v>
      </c>
      <c r="GO35" s="266" t="s">
        <v>4</v>
      </c>
      <c r="GP35" s="266" t="s">
        <v>276</v>
      </c>
      <c r="GQ35" s="14" t="str">
        <f>IF(GS35="","",COUNT($GS$4:GS35))</f>
        <v/>
      </c>
      <c r="GR35" s="24" t="str">
        <f t="shared" si="166"/>
        <v/>
      </c>
      <c r="GS35" s="134" t="str">
        <f t="shared" si="181"/>
        <v/>
      </c>
      <c r="GT35" s="66" t="str">
        <f>IF(GS35="","",BY32)</f>
        <v/>
      </c>
      <c r="GU35" s="66" t="str">
        <f>IF(GS35="","",2*BX32)</f>
        <v/>
      </c>
      <c r="GV35" s="265" t="str">
        <f>IF($GS35="","",2*BX31)</f>
        <v/>
      </c>
      <c r="GW35" s="265" t="str">
        <f>IF($GS35="","",2*BY31)</f>
        <v/>
      </c>
      <c r="GX35" s="265" t="str">
        <f t="shared" si="182"/>
        <v/>
      </c>
      <c r="GY35" s="66" t="str">
        <f t="shared" si="183"/>
        <v/>
      </c>
      <c r="GZ35" s="134" t="str">
        <f t="shared" si="184"/>
        <v/>
      </c>
      <c r="HA35" s="14" t="str">
        <f>IF(HC35="","",_xlfn.RANK.EQ(HC35,$HC$4:$HC$44,1)+COUNTIF($HC$4:$HC$44,HC35)-COUNTIF($HC$4:HC35,HC35))</f>
        <v/>
      </c>
      <c r="HB35" s="24" t="str">
        <f t="shared" si="39"/>
        <v/>
      </c>
      <c r="HC35" s="14" t="str">
        <f t="shared" si="0"/>
        <v/>
      </c>
      <c r="HD35" s="24" t="str">
        <f t="shared" si="40"/>
        <v/>
      </c>
      <c r="HE35" s="13" t="str">
        <f t="shared" si="1"/>
        <v/>
      </c>
      <c r="HF35" s="13" t="str">
        <f t="shared" si="169"/>
        <v/>
      </c>
      <c r="HG35" s="13"/>
      <c r="HH35" s="24" t="str">
        <f t="shared" si="3"/>
        <v/>
      </c>
      <c r="HI35" s="66" t="str">
        <f t="shared" si="4"/>
        <v/>
      </c>
      <c r="HJ35" s="82" t="str">
        <f t="shared" si="5"/>
        <v/>
      </c>
      <c r="HK35" s="66" t="str">
        <f t="shared" si="6"/>
        <v/>
      </c>
      <c r="HL35" s="66" t="str">
        <f t="shared" si="7"/>
        <v/>
      </c>
      <c r="HM35" s="66" t="str">
        <f t="shared" si="8"/>
        <v/>
      </c>
      <c r="HN35" s="24" t="str">
        <f t="shared" si="170"/>
        <v/>
      </c>
      <c r="HO35" s="14" t="str">
        <f t="shared" si="9"/>
        <v/>
      </c>
      <c r="HP35" s="24" t="str">
        <f t="shared" si="10"/>
        <v/>
      </c>
      <c r="HQ35" s="24" t="str">
        <f t="shared" si="11"/>
        <v/>
      </c>
      <c r="HR35" s="13" t="str">
        <f t="shared" si="171"/>
        <v/>
      </c>
      <c r="HT35" s="13" t="str">
        <f t="shared" si="12"/>
        <v/>
      </c>
      <c r="HU35" s="75" t="str">
        <f t="shared" si="13"/>
        <v/>
      </c>
      <c r="HV35" s="75" t="str">
        <f t="shared" si="42"/>
        <v/>
      </c>
      <c r="HW35" s="75" t="str">
        <f t="shared" si="14"/>
        <v/>
      </c>
      <c r="HX35" s="75" t="str">
        <f t="shared" si="15"/>
        <v/>
      </c>
      <c r="HY35" s="66" t="str">
        <f t="shared" si="16"/>
        <v/>
      </c>
      <c r="HZ35" s="151" t="str">
        <f t="shared" si="17"/>
        <v/>
      </c>
      <c r="IA35" s="151" t="str">
        <f t="shared" si="18"/>
        <v/>
      </c>
      <c r="IB35" s="151"/>
      <c r="IC35" s="149" t="str">
        <f t="shared" si="19"/>
        <v/>
      </c>
      <c r="ID35" s="151" t="str">
        <f t="shared" si="20"/>
        <v/>
      </c>
      <c r="IE35" s="33" t="str">
        <f t="shared" si="21"/>
        <v/>
      </c>
      <c r="IF35" s="33" t="str">
        <f t="shared" si="22"/>
        <v/>
      </c>
      <c r="IG35" s="33" t="str">
        <f t="shared" si="23"/>
        <v/>
      </c>
      <c r="IH35" s="33" t="str">
        <f t="shared" si="24"/>
        <v/>
      </c>
      <c r="II35" s="33" t="str">
        <f t="shared" si="25"/>
        <v/>
      </c>
      <c r="IM35" s="13"/>
      <c r="IN35" s="13"/>
      <c r="IO35" s="13"/>
      <c r="IP35" s="13"/>
      <c r="IQ35" s="13"/>
    </row>
    <row r="36" spans="1:251" x14ac:dyDescent="0.2">
      <c r="A36" s="9"/>
      <c r="B36" s="423"/>
      <c r="C36" s="154" t="str">
        <f t="shared" si="180"/>
        <v>9       Airframe  9C-Check</v>
      </c>
      <c r="D36" s="154"/>
      <c r="E36" s="424"/>
      <c r="F36" s="424"/>
      <c r="G36" s="425">
        <f t="shared" si="172"/>
        <v>162</v>
      </c>
      <c r="H36" s="425"/>
      <c r="I36" s="426">
        <f t="shared" si="173"/>
        <v>46204</v>
      </c>
      <c r="J36" s="425">
        <f t="shared" si="174"/>
        <v>47250</v>
      </c>
      <c r="K36" s="425">
        <f t="shared" si="175"/>
        <v>23625</v>
      </c>
      <c r="L36" s="425"/>
      <c r="M36" s="425">
        <f>IF(AND(NOT(C35=""),C36=""),SUM($M$28:M35),IF(C36="","",IF(HZ12="Engine",SUM(IE12:IF12),IE12)))</f>
        <v>222480</v>
      </c>
      <c r="N36" s="154"/>
      <c r="O36" s="156" t="str">
        <f t="shared" si="176"/>
        <v/>
      </c>
      <c r="Q36" s="427" t="str">
        <f>IF(AND(NOT(C35=""),C36=""),SUM($Q$28:Q35),IF(C36="","",IF(HZ12="Engine",IE12,"")))</f>
        <v/>
      </c>
      <c r="R36" s="154"/>
      <c r="S36" s="427" t="str">
        <f>IF(AND(NOT(C35=""),C36=""),SUM($S$28:S35),IF(C36="","",IF(HZ12="Engine",IF12,"")))</f>
        <v/>
      </c>
      <c r="U36" s="425" t="str">
        <f t="shared" si="177"/>
        <v/>
      </c>
      <c r="V36" s="425"/>
      <c r="W36" s="425" t="str">
        <f t="shared" si="178"/>
        <v/>
      </c>
      <c r="X36" s="428" t="str">
        <f>IF(AND(NOT(C35=""),C36=""),SUM($X$28:X35),IF(C36="","",IF(HZ12="Engine",-IG12,"")))</f>
        <v/>
      </c>
      <c r="Y36" s="429" t="str">
        <f t="shared" si="179"/>
        <v/>
      </c>
      <c r="Z36" s="26"/>
      <c r="AC36" s="136">
        <v>4</v>
      </c>
      <c r="AD36" s="137">
        <f>IF($FY$7="True",SOURCE!BL13,SOURCE!BP13)</f>
        <v>0.86</v>
      </c>
      <c r="AE36" s="137">
        <f>IF($FY$7="True",SOURCE!BM13,SOURCE!BQ13)</f>
        <v>1.075</v>
      </c>
      <c r="AF36" s="137">
        <f>IF($FY$7="True",SOURCE!BN13,SOURCE!BR13)</f>
        <v>0.86</v>
      </c>
      <c r="AG36" s="137">
        <f>IF($FY$7="True",SOURCE!BO13,SOURCE!BS13)</f>
        <v>1.06</v>
      </c>
      <c r="AH36" s="138">
        <f t="shared" si="156"/>
        <v>2526250</v>
      </c>
      <c r="AI36" s="136">
        <f t="shared" si="157"/>
        <v>80.84</v>
      </c>
      <c r="AJ36" s="138">
        <f t="shared" si="91"/>
        <v>7812.5</v>
      </c>
      <c r="AK36" s="138">
        <f t="shared" si="92"/>
        <v>31250</v>
      </c>
      <c r="AL36" s="138">
        <f t="shared" si="152"/>
        <v>2615550</v>
      </c>
      <c r="AM36" s="355">
        <f t="shared" si="93"/>
        <v>132.62812500000001</v>
      </c>
      <c r="AN36" s="138">
        <f t="shared" si="94"/>
        <v>4930.2325581395344</v>
      </c>
      <c r="AO36" s="138">
        <f t="shared" si="95"/>
        <v>19720.930232558138</v>
      </c>
      <c r="AP36" s="138"/>
      <c r="AQ36" s="136">
        <f t="shared" si="96"/>
        <v>4</v>
      </c>
      <c r="AR36" s="138">
        <f t="shared" si="158"/>
        <v>2615550</v>
      </c>
      <c r="AS36" s="136">
        <f>$AS$16*$AF36</f>
        <v>132.62812500000001</v>
      </c>
      <c r="AT36" s="138">
        <f t="shared" si="160"/>
        <v>4930.2325581395344</v>
      </c>
      <c r="AU36" s="138">
        <f t="shared" si="161"/>
        <v>19720.930232558138</v>
      </c>
      <c r="AV36" s="33">
        <f t="shared" si="49"/>
        <v>2615550</v>
      </c>
      <c r="AW36" s="136">
        <f t="shared" si="162"/>
        <v>132.62812500000001</v>
      </c>
      <c r="AX36" s="138">
        <f t="shared" si="163"/>
        <v>4930.2325581395344</v>
      </c>
      <c r="AY36" s="138">
        <f t="shared" si="164"/>
        <v>19720.930232558138</v>
      </c>
      <c r="AZ36" s="50"/>
      <c r="BA36" s="50"/>
      <c r="BB36" s="50"/>
      <c r="BC36" s="23"/>
      <c r="BD36" s="27"/>
      <c r="BE36" s="23"/>
      <c r="BZ36" s="9"/>
      <c r="CA36" s="9"/>
      <c r="CB36" s="9"/>
      <c r="DM36" s="44">
        <f t="shared" si="129"/>
        <v>30</v>
      </c>
      <c r="DN36" s="41">
        <f t="shared" si="65"/>
        <v>12307520</v>
      </c>
      <c r="DO36" s="41">
        <f t="shared" si="130"/>
        <v>124541.17521367522</v>
      </c>
      <c r="DP36" s="42">
        <f t="shared" si="66"/>
        <v>0</v>
      </c>
      <c r="DQ36" s="42">
        <f t="shared" si="67"/>
        <v>0</v>
      </c>
      <c r="DR36" s="42">
        <f t="shared" si="68"/>
        <v>0</v>
      </c>
      <c r="DS36" s="42">
        <f t="shared" si="69"/>
        <v>0</v>
      </c>
      <c r="DT36" s="42">
        <f t="shared" si="70"/>
        <v>0</v>
      </c>
      <c r="DU36" s="42">
        <f t="shared" si="71"/>
        <v>0</v>
      </c>
      <c r="DV36" s="42">
        <f t="shared" si="72"/>
        <v>0</v>
      </c>
      <c r="DW36" s="42">
        <f t="shared" si="73"/>
        <v>0</v>
      </c>
      <c r="DX36" s="42">
        <f t="shared" si="74"/>
        <v>3515835.2564102542</v>
      </c>
      <c r="DY36" s="42">
        <f>IF(DM36="",DY35,DN36-SUM($DO$6:DO36)+SUM($DP$6:DV36)-SUM($DW$6:DW36))</f>
        <v>8791684.7435897458</v>
      </c>
      <c r="DZ36" s="43">
        <f t="shared" si="131"/>
        <v>0.7143343860980722</v>
      </c>
      <c r="EA36" s="43"/>
      <c r="EB36" s="43" t="str">
        <f t="shared" si="146"/>
        <v>False</v>
      </c>
      <c r="EC36" s="41">
        <f t="shared" si="132"/>
        <v>220400</v>
      </c>
      <c r="ED36" s="41">
        <f t="shared" si="133"/>
        <v>606690</v>
      </c>
      <c r="EE36" s="41">
        <f t="shared" si="75"/>
        <v>902280</v>
      </c>
      <c r="EF36" s="41">
        <f t="shared" si="147"/>
        <v>12244.444444444445</v>
      </c>
      <c r="EG36" s="42">
        <f t="shared" si="134"/>
        <v>8426.25</v>
      </c>
      <c r="EH36" s="42">
        <f t="shared" si="135"/>
        <v>6265.8333333333321</v>
      </c>
      <c r="EI36" s="42">
        <f t="shared" si="76"/>
        <v>146933</v>
      </c>
      <c r="EJ36" s="42">
        <f t="shared" si="136"/>
        <v>252788</v>
      </c>
      <c r="EK36" s="42">
        <f t="shared" si="77"/>
        <v>187975</v>
      </c>
      <c r="EL36" s="42">
        <f>IF(DM36="","",EC36-SUM($EF$6:EF36)+SUM($DP$6:DP36))</f>
        <v>73466.666666666744</v>
      </c>
      <c r="EM36" s="42">
        <f>IF(DM36="","",ED36-SUM($EG$6:EG36)+SUM($DQ$6:DQ36))</f>
        <v>353902.5</v>
      </c>
      <c r="EN36" s="42">
        <f>IF(DM36="","",EE36-SUM($EH$6:EH36)+SUM($DR$6:DR36))</f>
        <v>714305</v>
      </c>
      <c r="EO36" s="152">
        <f t="shared" si="148"/>
        <v>0.66016767184967173</v>
      </c>
      <c r="EP36" s="43"/>
      <c r="EQ36" s="42">
        <f t="shared" si="78"/>
        <v>448050</v>
      </c>
      <c r="ER36" s="42">
        <f t="shared" si="79"/>
        <v>248100</v>
      </c>
      <c r="ES36" s="42">
        <f t="shared" si="137"/>
        <v>3733.75</v>
      </c>
      <c r="ET36" s="42">
        <f t="shared" si="138"/>
        <v>6122.9807692307695</v>
      </c>
      <c r="EU36" s="42">
        <f t="shared" si="80"/>
        <v>112013</v>
      </c>
      <c r="EV36" s="42">
        <f t="shared" si="81"/>
        <v>183689</v>
      </c>
      <c r="EW36" s="42">
        <f>IF(DM36="","",IF(DS36&gt;0,DS36,EQ36-SUM($ES$6:ES36)+SUM($DS$6:DS36)))</f>
        <v>336037.5</v>
      </c>
      <c r="EX36" s="42">
        <f>IF(DM36="","",IF(DT36&gt;0,DT36,ER36-SUM($ET$6:ET36)+SUM($DT$6:DT36)))</f>
        <v>64410.576923076878</v>
      </c>
      <c r="EY36" s="43">
        <f t="shared" si="82"/>
        <v>0.25961538461538441</v>
      </c>
      <c r="EZ36" s="43">
        <f t="shared" si="83"/>
        <v>0.75</v>
      </c>
      <c r="FA36" s="43"/>
      <c r="FB36" s="42">
        <f t="shared" si="84"/>
        <v>4700000</v>
      </c>
      <c r="FC36" s="42">
        <f t="shared" si="85"/>
        <v>5182000</v>
      </c>
      <c r="FD36" s="41">
        <f t="shared" si="139"/>
        <v>54833.333333333336</v>
      </c>
      <c r="FE36" s="41">
        <f t="shared" si="140"/>
        <v>32914.583333333336</v>
      </c>
      <c r="FF36" s="42">
        <f t="shared" si="86"/>
        <v>1645000</v>
      </c>
      <c r="FG36" s="42">
        <f t="shared" si="87"/>
        <v>987438</v>
      </c>
      <c r="FH36" s="42">
        <f>IF(DM36="","",IF(DU36&gt;0,DU36,FB36-SUM($FD$6:FD36)+SUM($DU$6:DU36)))</f>
        <v>3055000.0000000005</v>
      </c>
      <c r="FI36" s="42">
        <f>IF(DM36="","",FC36-SUM($FE$6:FE36)+SUM($DV$6:DV36)-SUM($DW$6:DW36))</f>
        <v>4194562.5</v>
      </c>
      <c r="FJ36" s="152">
        <f t="shared" si="88"/>
        <v>0.7336128820076907</v>
      </c>
      <c r="FP36" s="8"/>
      <c r="FQ36" s="8"/>
      <c r="FR36" s="27">
        <v>4</v>
      </c>
      <c r="FS36" s="8"/>
      <c r="FT36" s="8"/>
      <c r="FU36" s="8"/>
      <c r="GC36" s="68">
        <f t="shared" si="26"/>
        <v>31</v>
      </c>
      <c r="GD36" s="78">
        <f t="shared" si="27"/>
        <v>0</v>
      </c>
      <c r="GE36" s="309">
        <f t="shared" si="28"/>
        <v>0.7042152739443911</v>
      </c>
      <c r="GF36" s="78">
        <f t="shared" si="29"/>
        <v>0</v>
      </c>
      <c r="GG36" s="310">
        <f t="shared" si="30"/>
        <v>0.64459175242365085</v>
      </c>
      <c r="GH36" s="78">
        <f t="shared" si="31"/>
        <v>0</v>
      </c>
      <c r="GI36" s="310">
        <f t="shared" si="32"/>
        <v>0.7416666666666667</v>
      </c>
      <c r="GJ36" s="311">
        <f t="shared" si="33"/>
        <v>0</v>
      </c>
      <c r="GK36" s="310">
        <f t="shared" si="34"/>
        <v>0.23493589743589721</v>
      </c>
      <c r="GL36" s="311">
        <f t="shared" si="35"/>
        <v>0</v>
      </c>
      <c r="GM36" s="310">
        <f t="shared" si="36"/>
        <v>0.72473331140794706</v>
      </c>
      <c r="GO36" s="266" t="s">
        <v>4</v>
      </c>
      <c r="GP36" s="266" t="s">
        <v>276</v>
      </c>
      <c r="GQ36" s="14" t="str">
        <f>IF(GS36="","",COUNT($GS$4:GS36))</f>
        <v/>
      </c>
      <c r="GR36" s="24" t="str">
        <f t="shared" si="166"/>
        <v/>
      </c>
      <c r="GS36" s="134" t="str">
        <f t="shared" si="181"/>
        <v/>
      </c>
      <c r="GT36" s="66" t="str">
        <f>IF(GS36="","",CB32)</f>
        <v/>
      </c>
      <c r="GU36" s="66" t="str">
        <f>IF(GS36="","",2*CA32)</f>
        <v/>
      </c>
      <c r="GV36" s="265" t="str">
        <f>IF($GS36="","",2*CA31)</f>
        <v/>
      </c>
      <c r="GW36" s="265" t="str">
        <f>IF($GS36="","",2*CB31)</f>
        <v/>
      </c>
      <c r="GX36" s="265" t="str">
        <f t="shared" si="182"/>
        <v/>
      </c>
      <c r="GY36" s="66" t="str">
        <f t="shared" si="183"/>
        <v/>
      </c>
      <c r="GZ36" s="134" t="str">
        <f t="shared" si="184"/>
        <v/>
      </c>
      <c r="HA36" s="14" t="str">
        <f>IF(HC36="","",_xlfn.RANK.EQ(HC36,$HC$4:$HC$44,1)+COUNTIF($HC$4:$HC$44,HC36)-COUNTIF($HC$4:HC36,HC36))</f>
        <v/>
      </c>
      <c r="HB36" s="24" t="str">
        <f t="shared" si="39"/>
        <v/>
      </c>
      <c r="HC36" s="14" t="str">
        <f t="shared" si="0"/>
        <v/>
      </c>
      <c r="HD36" s="24" t="str">
        <f t="shared" si="40"/>
        <v/>
      </c>
      <c r="HE36" s="13" t="str">
        <f t="shared" si="1"/>
        <v/>
      </c>
      <c r="HF36" s="13" t="str">
        <f t="shared" si="169"/>
        <v/>
      </c>
      <c r="HG36" s="13"/>
      <c r="HH36" s="24" t="str">
        <f t="shared" si="3"/>
        <v/>
      </c>
      <c r="HI36" s="66" t="str">
        <f t="shared" si="4"/>
        <v/>
      </c>
      <c r="HJ36" s="82" t="str">
        <f t="shared" si="5"/>
        <v/>
      </c>
      <c r="HK36" s="66" t="str">
        <f t="shared" si="6"/>
        <v/>
      </c>
      <c r="HL36" s="66" t="str">
        <f t="shared" si="7"/>
        <v/>
      </c>
      <c r="HM36" s="66" t="str">
        <f t="shared" si="8"/>
        <v/>
      </c>
      <c r="HN36" s="24" t="str">
        <f t="shared" si="170"/>
        <v/>
      </c>
      <c r="HO36" s="14" t="str">
        <f t="shared" si="9"/>
        <v/>
      </c>
      <c r="HP36" s="24" t="str">
        <f t="shared" si="10"/>
        <v/>
      </c>
      <c r="HQ36" s="24" t="str">
        <f t="shared" si="11"/>
        <v/>
      </c>
      <c r="HR36" s="13" t="str">
        <f t="shared" si="171"/>
        <v/>
      </c>
      <c r="HT36" s="13" t="str">
        <f t="shared" si="12"/>
        <v/>
      </c>
      <c r="HU36" s="75" t="str">
        <f t="shared" si="13"/>
        <v/>
      </c>
      <c r="HV36" s="75" t="str">
        <f t="shared" si="42"/>
        <v/>
      </c>
      <c r="HW36" s="75" t="str">
        <f t="shared" si="14"/>
        <v/>
      </c>
      <c r="HX36" s="75" t="str">
        <f t="shared" si="15"/>
        <v/>
      </c>
      <c r="HY36" s="66" t="str">
        <f t="shared" si="16"/>
        <v/>
      </c>
      <c r="HZ36" s="151" t="str">
        <f t="shared" si="17"/>
        <v/>
      </c>
      <c r="IA36" s="151" t="str">
        <f t="shared" si="18"/>
        <v/>
      </c>
      <c r="IB36" s="151"/>
      <c r="IC36" s="149" t="str">
        <f t="shared" si="19"/>
        <v/>
      </c>
      <c r="ID36" s="151" t="str">
        <f t="shared" si="20"/>
        <v/>
      </c>
      <c r="IE36" s="33" t="str">
        <f t="shared" si="21"/>
        <v/>
      </c>
      <c r="IF36" s="33" t="str">
        <f t="shared" si="22"/>
        <v/>
      </c>
      <c r="IG36" s="33" t="str">
        <f t="shared" si="23"/>
        <v/>
      </c>
      <c r="IH36" s="33" t="str">
        <f t="shared" si="24"/>
        <v/>
      </c>
      <c r="II36" s="33" t="str">
        <f t="shared" si="25"/>
        <v/>
      </c>
      <c r="IM36" s="13"/>
      <c r="IN36" s="13"/>
      <c r="IO36" s="13"/>
      <c r="IP36" s="13"/>
      <c r="IQ36" s="13"/>
    </row>
    <row r="37" spans="1:251" x14ac:dyDescent="0.2">
      <c r="A37" s="9"/>
      <c r="B37" s="423"/>
      <c r="C37" s="154" t="str">
        <f t="shared" si="180"/>
        <v>10    Airframe  10C-Check</v>
      </c>
      <c r="D37" s="154"/>
      <c r="E37" s="424"/>
      <c r="F37" s="424"/>
      <c r="G37" s="425">
        <f t="shared" si="172"/>
        <v>180</v>
      </c>
      <c r="H37" s="425"/>
      <c r="I37" s="426">
        <f t="shared" si="173"/>
        <v>46753</v>
      </c>
      <c r="J37" s="425">
        <f t="shared" si="174"/>
        <v>52500</v>
      </c>
      <c r="K37" s="425">
        <f t="shared" si="175"/>
        <v>26250</v>
      </c>
      <c r="L37" s="425"/>
      <c r="M37" s="425">
        <f>IF(AND(NOT(C36=""),C37=""),SUM($M$28:M36),IF(C37="","",IF(HZ13="Engine",SUM(IE13:IF13),IE13)))</f>
        <v>264480</v>
      </c>
      <c r="N37" s="154"/>
      <c r="O37" s="156" t="str">
        <f t="shared" si="176"/>
        <v/>
      </c>
      <c r="Q37" s="427" t="str">
        <f>IF(AND(NOT(C36=""),C37=""),SUM($Q$28:Q36),IF(C37="","",IF(HZ13="Engine",IE13,"")))</f>
        <v/>
      </c>
      <c r="R37" s="154"/>
      <c r="S37" s="427" t="str">
        <f>IF(AND(NOT(C36=""),C37=""),SUM($S$28:S36),IF(C37="","",IF(HZ13="Engine",IF13,"")))</f>
        <v/>
      </c>
      <c r="U37" s="425" t="str">
        <f t="shared" si="177"/>
        <v/>
      </c>
      <c r="V37" s="425"/>
      <c r="W37" s="425" t="str">
        <f t="shared" si="178"/>
        <v/>
      </c>
      <c r="X37" s="428" t="str">
        <f>IF(AND(NOT(C36=""),C37=""),SUM($X$28:X36),IF(C37="","",IF(HZ13="Engine",-IG13,"")))</f>
        <v/>
      </c>
      <c r="Y37" s="429" t="str">
        <f t="shared" si="179"/>
        <v/>
      </c>
      <c r="Z37" s="26"/>
      <c r="AC37" s="20">
        <v>4.0999999999999996</v>
      </c>
      <c r="AD37" s="18">
        <f>AD36-($AD$36-$AD$41)/5</f>
        <v>0.85799999999999998</v>
      </c>
      <c r="AE37" s="18">
        <f>AE36-($AE$36-$AE$41)/5</f>
        <v>1.0760000000000001</v>
      </c>
      <c r="AF37" s="18">
        <f>AF36-($AF$36-$AF$41)/5</f>
        <v>0.85799999999999998</v>
      </c>
      <c r="AG37" s="18">
        <f>AG36-($AG$36-$AG$41)/5</f>
        <v>1.0620000000000001</v>
      </c>
      <c r="AH37" s="50">
        <f t="shared" si="156"/>
        <v>2528600</v>
      </c>
      <c r="AI37" s="51">
        <f t="shared" si="157"/>
        <v>80.652000000000001</v>
      </c>
      <c r="AJ37" s="50">
        <f t="shared" si="91"/>
        <v>7646.8247199954521</v>
      </c>
      <c r="AK37" s="50">
        <f t="shared" si="92"/>
        <v>31351.981351981351</v>
      </c>
      <c r="AL37" s="348">
        <f t="shared" ref="AL37:AL46" si="185">IF($AQ$3="",AR37,AV37)</f>
        <v>2620485</v>
      </c>
      <c r="AM37" s="354">
        <f t="shared" ref="AM37:AM46" si="186">IF($AQ$3="",AS37,AW37)</f>
        <v>132.31968749999999</v>
      </c>
      <c r="AN37" s="348">
        <f t="shared" ref="AN37:AN46" si="187">IF($AQ$3="",AT37,AX37)</f>
        <v>4830.2916595599527</v>
      </c>
      <c r="AO37" s="348">
        <f t="shared" ref="AO37:AO46" si="188">IF($AQ$3="",AU37,AY37)</f>
        <v>19804.195804195806</v>
      </c>
      <c r="AP37" s="138"/>
      <c r="AQ37" s="349">
        <f t="shared" ref="AQ37:AQ46" si="189">AC37</f>
        <v>4.0999999999999996</v>
      </c>
      <c r="AR37" s="50">
        <f t="shared" si="158"/>
        <v>2620485</v>
      </c>
      <c r="AS37" s="51">
        <f t="shared" ref="AS37:AS46" si="190">$AS$16*$AF37</f>
        <v>132.31968749999999</v>
      </c>
      <c r="AT37" s="348">
        <f t="shared" ref="AT37:AT46" si="191">AU37/$AC37</f>
        <v>4830.2916595599527</v>
      </c>
      <c r="AU37" s="348">
        <f t="shared" ref="AU37:AU46" si="192">AR37/AS37</f>
        <v>19804.195804195806</v>
      </c>
      <c r="AV37" s="350">
        <f t="shared" si="49"/>
        <v>2620485</v>
      </c>
      <c r="AW37" s="349">
        <f t="shared" si="162"/>
        <v>132.31968749999999</v>
      </c>
      <c r="AX37" s="348">
        <f t="shared" ref="AX37:AX46" si="193">AY37/$AC37</f>
        <v>4830.2916595599527</v>
      </c>
      <c r="AY37" s="348">
        <f t="shared" ref="AY37:AY46" si="194">AV37/AW37</f>
        <v>19804.195804195806</v>
      </c>
      <c r="AZ37" s="50"/>
      <c r="BA37" s="50"/>
      <c r="BB37" s="50"/>
      <c r="BC37" s="23"/>
      <c r="BD37" s="27"/>
      <c r="BE37" s="23"/>
      <c r="BZ37" s="9"/>
      <c r="CA37" s="9"/>
      <c r="CB37" s="9"/>
      <c r="DM37" s="44">
        <f t="shared" si="129"/>
        <v>31</v>
      </c>
      <c r="DN37" s="41">
        <f t="shared" si="65"/>
        <v>12307520</v>
      </c>
      <c r="DO37" s="41">
        <f t="shared" si="130"/>
        <v>124541.17521367522</v>
      </c>
      <c r="DP37" s="42">
        <f t="shared" si="66"/>
        <v>0</v>
      </c>
      <c r="DQ37" s="42">
        <f t="shared" si="67"/>
        <v>0</v>
      </c>
      <c r="DR37" s="42">
        <f t="shared" si="68"/>
        <v>0</v>
      </c>
      <c r="DS37" s="42">
        <f t="shared" si="69"/>
        <v>0</v>
      </c>
      <c r="DT37" s="42">
        <f t="shared" si="70"/>
        <v>0</v>
      </c>
      <c r="DU37" s="42">
        <f t="shared" si="71"/>
        <v>0</v>
      </c>
      <c r="DV37" s="42">
        <f t="shared" si="72"/>
        <v>0</v>
      </c>
      <c r="DW37" s="42">
        <f t="shared" si="73"/>
        <v>0</v>
      </c>
      <c r="DX37" s="42">
        <f t="shared" si="74"/>
        <v>3640376.4316239282</v>
      </c>
      <c r="DY37" s="42">
        <f>IF(DM37="",DY36,DN37-SUM($DO$6:DO37)+SUM($DP$6:DV37)-SUM($DW$6:DW37))</f>
        <v>8667143.5683760718</v>
      </c>
      <c r="DZ37" s="43">
        <f t="shared" si="131"/>
        <v>0.7042152739443911</v>
      </c>
      <c r="EA37" s="43"/>
      <c r="EB37" s="43" t="str">
        <f t="shared" si="146"/>
        <v>False</v>
      </c>
      <c r="EC37" s="41">
        <f t="shared" si="132"/>
        <v>220400</v>
      </c>
      <c r="ED37" s="41">
        <f t="shared" si="133"/>
        <v>606690</v>
      </c>
      <c r="EE37" s="41">
        <f t="shared" si="75"/>
        <v>902280</v>
      </c>
      <c r="EF37" s="41">
        <f t="shared" si="147"/>
        <v>12244.444444444445</v>
      </c>
      <c r="EG37" s="42">
        <f t="shared" si="134"/>
        <v>8426.25</v>
      </c>
      <c r="EH37" s="42">
        <f t="shared" si="135"/>
        <v>6265.8333333333321</v>
      </c>
      <c r="EI37" s="42">
        <f t="shared" si="76"/>
        <v>159178</v>
      </c>
      <c r="EJ37" s="42">
        <f t="shared" si="136"/>
        <v>261214</v>
      </c>
      <c r="EK37" s="42">
        <f t="shared" si="77"/>
        <v>194241</v>
      </c>
      <c r="EL37" s="42">
        <f>IF(DM37="","",EC37-SUM($EF$6:EF37)+SUM($DP$6:DP37))</f>
        <v>61222.222222222306</v>
      </c>
      <c r="EM37" s="42">
        <f>IF(DM37="","",ED37-SUM($EG$6:EG37)+SUM($DQ$6:DQ37))</f>
        <v>345476.25</v>
      </c>
      <c r="EN37" s="42">
        <f>IF(DM37="","",EE37-SUM($EH$6:EH37)+SUM($DR$6:DR37))</f>
        <v>708039.16666666663</v>
      </c>
      <c r="EO37" s="152">
        <f t="shared" si="148"/>
        <v>0.64459175242365085</v>
      </c>
      <c r="EP37" s="43"/>
      <c r="EQ37" s="42">
        <f t="shared" si="78"/>
        <v>448050</v>
      </c>
      <c r="ER37" s="42">
        <f t="shared" si="79"/>
        <v>248100</v>
      </c>
      <c r="ES37" s="42">
        <f t="shared" si="137"/>
        <v>3733.75</v>
      </c>
      <c r="ET37" s="42">
        <f t="shared" si="138"/>
        <v>6122.9807692307695</v>
      </c>
      <c r="EU37" s="42">
        <f t="shared" si="80"/>
        <v>115746</v>
      </c>
      <c r="EV37" s="42">
        <f t="shared" si="81"/>
        <v>189812</v>
      </c>
      <c r="EW37" s="42">
        <f>IF(DM37="","",IF(DS37&gt;0,DS37,EQ37-SUM($ES$6:ES37)+SUM($DS$6:DS37)))</f>
        <v>332303.75</v>
      </c>
      <c r="EX37" s="42">
        <f>IF(DM37="","",IF(DT37&gt;0,DT37,ER37-SUM($ET$6:ET37)+SUM($DT$6:DT37)))</f>
        <v>58287.596153846098</v>
      </c>
      <c r="EY37" s="43">
        <f t="shared" si="82"/>
        <v>0.23493589743589721</v>
      </c>
      <c r="EZ37" s="43">
        <f t="shared" si="83"/>
        <v>0.7416666666666667</v>
      </c>
      <c r="FA37" s="43"/>
      <c r="FB37" s="42">
        <f t="shared" si="84"/>
        <v>4700000</v>
      </c>
      <c r="FC37" s="42">
        <f t="shared" si="85"/>
        <v>5182000</v>
      </c>
      <c r="FD37" s="41">
        <f t="shared" si="139"/>
        <v>54833.333333333336</v>
      </c>
      <c r="FE37" s="41">
        <f t="shared" si="140"/>
        <v>32914.583333333336</v>
      </c>
      <c r="FF37" s="42">
        <f t="shared" si="86"/>
        <v>1699833</v>
      </c>
      <c r="FG37" s="42">
        <f t="shared" si="87"/>
        <v>1020352</v>
      </c>
      <c r="FH37" s="42">
        <f>IF(DM37="","",IF(DU37&gt;0,DU37,FB37-SUM($FD$6:FD37)+SUM($DU$6:DU37)))</f>
        <v>3000166.666666667</v>
      </c>
      <c r="FI37" s="42">
        <f>IF(DM37="","",FC37-SUM($FE$6:FE37)+SUM($DV$6:DV37)-SUM($DW$6:DW37))</f>
        <v>4161647.916666666</v>
      </c>
      <c r="FJ37" s="152">
        <f t="shared" si="88"/>
        <v>0.72473331140794706</v>
      </c>
      <c r="FP37" s="8"/>
      <c r="FQ37" s="8"/>
      <c r="FR37" s="27">
        <v>4.0999999999999996</v>
      </c>
      <c r="FS37" s="8"/>
      <c r="FT37" s="8"/>
      <c r="FU37" s="8"/>
      <c r="GC37" s="68">
        <f t="shared" ref="GC37:GC68" si="195">DM38</f>
        <v>32</v>
      </c>
      <c r="GD37" s="78">
        <f t="shared" ref="GD37:GD68" si="196">IF(DM38="","",SUM(DP38:DV38))</f>
        <v>0</v>
      </c>
      <c r="GE37" s="309">
        <f t="shared" ref="GE37:GE68" si="197">IF(DM38="",DZ38,DZ38)</f>
        <v>0.69409616179070976</v>
      </c>
      <c r="GF37" s="78">
        <f t="shared" ref="GF37:GF68" si="198">IF(DM38="","",SUM(DP38:DR38))</f>
        <v>0</v>
      </c>
      <c r="GG37" s="310">
        <f t="shared" ref="GG37:GG68" si="199">IF(DM38="",GG36,EO38)</f>
        <v>0.62901583299762975</v>
      </c>
      <c r="GH37" s="78">
        <f t="shared" ref="GH37:GH68" si="200">IF(DM38="","",DS38)</f>
        <v>0</v>
      </c>
      <c r="GI37" s="310">
        <f t="shared" ref="GI37:GI68" si="201">IF(DM38="",GI36,EZ38)</f>
        <v>0.73333333333333328</v>
      </c>
      <c r="GJ37" s="311">
        <f t="shared" ref="GJ37:GJ68" si="202">IF(DM38="","",DT38)</f>
        <v>0</v>
      </c>
      <c r="GK37" s="310">
        <f t="shared" ref="GK37:GK68" si="203">IF(DM38="",GK36,EY38)</f>
        <v>0.21025641025640998</v>
      </c>
      <c r="GL37" s="311">
        <f t="shared" ref="GL37:GL68" si="204">IF(DM38="","",SUM(DU38:DV38))</f>
        <v>0</v>
      </c>
      <c r="GM37" s="310">
        <f t="shared" ref="GM37:GM68" si="205">IF(DM38="",GM36,FJ38)</f>
        <v>0.71585374080820352</v>
      </c>
      <c r="GO37" s="266" t="s">
        <v>4</v>
      </c>
      <c r="GP37" s="266" t="s">
        <v>276</v>
      </c>
      <c r="GQ37" s="14" t="str">
        <f>IF(GS37="","",COUNT($GS$4:GS37))</f>
        <v/>
      </c>
      <c r="GR37" s="24" t="str">
        <f t="shared" si="166"/>
        <v/>
      </c>
      <c r="GS37" s="134" t="str">
        <f t="shared" si="181"/>
        <v/>
      </c>
      <c r="GT37" s="66" t="str">
        <f>IF(GS37="","",CE32)</f>
        <v/>
      </c>
      <c r="GU37" s="66" t="str">
        <f>IF(GS37="","",2*CD32)</f>
        <v/>
      </c>
      <c r="GV37" s="265" t="str">
        <f>IF($GS37="","",2*CD31)</f>
        <v/>
      </c>
      <c r="GW37" s="265" t="str">
        <f>IF($GS37="","",2*CE31)</f>
        <v/>
      </c>
      <c r="GX37" s="265" t="str">
        <f t="shared" si="182"/>
        <v/>
      </c>
      <c r="GY37" s="66" t="str">
        <f t="shared" si="183"/>
        <v/>
      </c>
      <c r="GZ37" s="134" t="str">
        <f t="shared" si="184"/>
        <v/>
      </c>
      <c r="HA37" s="14" t="str">
        <f>IF(HC37="","",_xlfn.RANK.EQ(HC37,$HC$4:$HC$44,1)+COUNTIF($HC$4:$HC$44,HC37)-COUNTIF($HC$4:HC37,HC37))</f>
        <v/>
      </c>
      <c r="HB37" s="24" t="str">
        <f t="shared" si="39"/>
        <v/>
      </c>
      <c r="HC37" s="14" t="str">
        <f t="shared" si="0"/>
        <v/>
      </c>
      <c r="HD37" s="24" t="str">
        <f t="shared" si="40"/>
        <v/>
      </c>
      <c r="HE37" s="13" t="str">
        <f t="shared" si="1"/>
        <v/>
      </c>
      <c r="HF37" s="13" t="str">
        <f t="shared" si="169"/>
        <v/>
      </c>
      <c r="HG37" s="13"/>
      <c r="HH37" s="24" t="str">
        <f t="shared" si="3"/>
        <v/>
      </c>
      <c r="HI37" s="66" t="str">
        <f t="shared" si="4"/>
        <v/>
      </c>
      <c r="HJ37" s="82" t="str">
        <f t="shared" si="5"/>
        <v/>
      </c>
      <c r="HK37" s="66" t="str">
        <f t="shared" si="6"/>
        <v/>
      </c>
      <c r="HL37" s="66" t="str">
        <f t="shared" si="7"/>
        <v/>
      </c>
      <c r="HM37" s="66" t="str">
        <f t="shared" si="8"/>
        <v/>
      </c>
      <c r="HN37" s="24" t="str">
        <f t="shared" si="170"/>
        <v/>
      </c>
      <c r="HO37" s="14" t="str">
        <f t="shared" si="9"/>
        <v/>
      </c>
      <c r="HP37" s="24" t="str">
        <f t="shared" si="10"/>
        <v/>
      </c>
      <c r="HQ37" s="24" t="str">
        <f t="shared" si="11"/>
        <v/>
      </c>
      <c r="HR37" s="13" t="str">
        <f t="shared" si="171"/>
        <v/>
      </c>
      <c r="HT37" s="13" t="str">
        <f t="shared" si="12"/>
        <v/>
      </c>
      <c r="HU37" s="75" t="str">
        <f t="shared" si="13"/>
        <v/>
      </c>
      <c r="HV37" s="75" t="str">
        <f t="shared" si="42"/>
        <v/>
      </c>
      <c r="HW37" s="75" t="str">
        <f t="shared" si="14"/>
        <v/>
      </c>
      <c r="HX37" s="75" t="str">
        <f t="shared" si="15"/>
        <v/>
      </c>
      <c r="HY37" s="66" t="str">
        <f t="shared" si="16"/>
        <v/>
      </c>
      <c r="HZ37" s="151" t="str">
        <f t="shared" si="17"/>
        <v/>
      </c>
      <c r="IA37" s="151" t="str">
        <f t="shared" si="18"/>
        <v/>
      </c>
      <c r="IB37" s="151"/>
      <c r="IC37" s="149" t="str">
        <f t="shared" si="19"/>
        <v/>
      </c>
      <c r="ID37" s="151" t="str">
        <f t="shared" si="20"/>
        <v/>
      </c>
      <c r="IE37" s="33" t="str">
        <f t="shared" si="21"/>
        <v/>
      </c>
      <c r="IF37" s="33" t="str">
        <f t="shared" si="22"/>
        <v/>
      </c>
      <c r="IG37" s="33" t="str">
        <f t="shared" si="23"/>
        <v/>
      </c>
      <c r="IH37" s="33" t="str">
        <f t="shared" si="24"/>
        <v/>
      </c>
      <c r="II37" s="33" t="str">
        <f t="shared" si="25"/>
        <v/>
      </c>
      <c r="IM37" s="13"/>
      <c r="IN37" s="13"/>
      <c r="IO37" s="13"/>
      <c r="IP37" s="13"/>
      <c r="IQ37" s="13"/>
    </row>
    <row r="38" spans="1:251" x14ac:dyDescent="0.2">
      <c r="A38" s="9"/>
      <c r="B38" s="423"/>
      <c r="C38" s="154" t="str">
        <f t="shared" si="180"/>
        <v>11    Airframe  6Y SI</v>
      </c>
      <c r="D38" s="154"/>
      <c r="E38" s="424"/>
      <c r="F38" s="424"/>
      <c r="G38" s="425">
        <f t="shared" si="172"/>
        <v>72</v>
      </c>
      <c r="H38" s="425"/>
      <c r="I38" s="426">
        <f t="shared" si="173"/>
        <v>43466</v>
      </c>
      <c r="J38" s="425">
        <f t="shared" si="174"/>
        <v>21000</v>
      </c>
      <c r="K38" s="425">
        <f t="shared" si="175"/>
        <v>10500</v>
      </c>
      <c r="L38" s="425"/>
      <c r="M38" s="425">
        <f>IF(AND(NOT(C37=""),C38=""),SUM($M$28:M37),IF(C38="","",IF(HZ14="Engine",SUM(IE14:IF14),IE14)))</f>
        <v>606690</v>
      </c>
      <c r="N38" s="154"/>
      <c r="O38" s="156" t="str">
        <f t="shared" si="176"/>
        <v/>
      </c>
      <c r="Q38" s="427" t="str">
        <f>IF(AND(NOT(C37=""),C38=""),SUM($Q$28:Q37),IF(C38="","",IF(HZ14="Engine",IE14,"")))</f>
        <v/>
      </c>
      <c r="R38" s="154"/>
      <c r="S38" s="427" t="str">
        <f>IF(AND(NOT(C37=""),C38=""),SUM($S$28:S37),IF(C38="","",IF(HZ14="Engine",IF14,"")))</f>
        <v/>
      </c>
      <c r="U38" s="425" t="str">
        <f t="shared" si="177"/>
        <v/>
      </c>
      <c r="V38" s="425"/>
      <c r="W38" s="425" t="str">
        <f t="shared" si="178"/>
        <v/>
      </c>
      <c r="X38" s="428" t="str">
        <f>IF(AND(NOT(C37=""),C38=""),SUM($X$28:X37),IF(C38="","",IF(HZ14="Engine",-IG14,"")))</f>
        <v/>
      </c>
      <c r="Y38" s="429" t="str">
        <f t="shared" si="179"/>
        <v/>
      </c>
      <c r="Z38" s="26"/>
      <c r="AC38" s="20">
        <v>4.2</v>
      </c>
      <c r="AD38" s="18">
        <f>AD37-($AD$36-$AD$41)/5</f>
        <v>0.85599999999999998</v>
      </c>
      <c r="AE38" s="18">
        <f>AE37-($AE$36-$AE$41)/5</f>
        <v>1.0770000000000002</v>
      </c>
      <c r="AF38" s="18">
        <f>AF37-($AF$36-$AF$41)/5</f>
        <v>0.85599999999999998</v>
      </c>
      <c r="AG38" s="18">
        <f>AG37-($AG$36-$AG$41)/5</f>
        <v>1.0640000000000001</v>
      </c>
      <c r="AH38" s="50">
        <f t="shared" si="156"/>
        <v>2530950.0000000005</v>
      </c>
      <c r="AI38" s="51">
        <f t="shared" si="157"/>
        <v>80.463999999999999</v>
      </c>
      <c r="AJ38" s="50">
        <f t="shared" si="91"/>
        <v>7489.1522029372509</v>
      </c>
      <c r="AK38" s="50">
        <f t="shared" si="92"/>
        <v>31454.439252336455</v>
      </c>
      <c r="AL38" s="348">
        <f t="shared" si="185"/>
        <v>2625420</v>
      </c>
      <c r="AM38" s="354">
        <f t="shared" si="186"/>
        <v>132.01124999999999</v>
      </c>
      <c r="AN38" s="348">
        <f t="shared" si="187"/>
        <v>4735.202492211838</v>
      </c>
      <c r="AO38" s="348">
        <f t="shared" si="188"/>
        <v>19887.850467289722</v>
      </c>
      <c r="AP38" s="138"/>
      <c r="AQ38" s="349">
        <f t="shared" si="189"/>
        <v>4.2</v>
      </c>
      <c r="AR38" s="50">
        <f t="shared" si="158"/>
        <v>2625420</v>
      </c>
      <c r="AS38" s="51">
        <f t="shared" si="190"/>
        <v>132.01124999999999</v>
      </c>
      <c r="AT38" s="348">
        <f t="shared" si="191"/>
        <v>4735.202492211838</v>
      </c>
      <c r="AU38" s="348">
        <f t="shared" si="192"/>
        <v>19887.850467289722</v>
      </c>
      <c r="AV38" s="350">
        <f t="shared" si="49"/>
        <v>2625420</v>
      </c>
      <c r="AW38" s="349">
        <f t="shared" si="162"/>
        <v>132.01124999999999</v>
      </c>
      <c r="AX38" s="348">
        <f t="shared" si="193"/>
        <v>4735.202492211838</v>
      </c>
      <c r="AY38" s="348">
        <f t="shared" si="194"/>
        <v>19887.850467289722</v>
      </c>
      <c r="AZ38" s="50"/>
      <c r="BA38" s="50"/>
      <c r="BB38" s="50"/>
      <c r="BC38" s="23"/>
      <c r="BD38" s="27"/>
      <c r="BE38" s="23"/>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M38" s="44">
        <f t="shared" si="129"/>
        <v>32</v>
      </c>
      <c r="DN38" s="41">
        <f t="shared" ref="DN38:DN69" si="206">IF(DM38="","",SUM(EC38:EE38)+SUM(EQ38:ER38)+SUM(FB38:FC38))</f>
        <v>12307520</v>
      </c>
      <c r="DO38" s="41">
        <f t="shared" si="130"/>
        <v>124541.17521367522</v>
      </c>
      <c r="DP38" s="42">
        <f t="shared" ref="DP38:DP69" si="207">IF(DM38="","",IF(ISNA(VLOOKUP(DM38,$GS$4:$GU$13,3,FALSE)),0,VLOOKUP(DM38,$GS$4:$GU$13,3,FALSE)))</f>
        <v>0</v>
      </c>
      <c r="DQ38" s="42">
        <f t="shared" ref="DQ38:DQ69" si="208">IF(DM38="","",IF(ISNA(VLOOKUP(DM38,$GS$14:$GU$15,3,FALSE)),0,VLOOKUP(DM38,$GS$14:$GU$15,3,FALSE)))</f>
        <v>0</v>
      </c>
      <c r="DR38" s="42">
        <f t="shared" ref="DR38:DR69" si="209">IF(DM38="","",IF(ISNA(VLOOKUP(DM38,$GS$16:$GU$16,3,FALSE)),0,VLOOKUP(DM38,$GS$16:$GU$16,3,FALSE)))</f>
        <v>0</v>
      </c>
      <c r="DS38" s="42">
        <f t="shared" ref="DS38:DS69" si="210">IF(DM38="","",IF(ISNA(VLOOKUP(DM38,$GS$17:$GU$19,3,FALSE)),0,VLOOKUP(DM38,$GS$17:$GU$19,3,FALSE)))</f>
        <v>0</v>
      </c>
      <c r="DT38" s="42">
        <f t="shared" ref="DT38:DT69" si="211">IF(DM38="","",IF(ISNA(VLOOKUP(DM38,$GS$20:$GU$28,3,FALSE)),0,VLOOKUP(DM38,$GS$20:$GU$28,3,FALSE)))</f>
        <v>0</v>
      </c>
      <c r="DU38" s="42">
        <f t="shared" ref="DU38:DU69" si="212">IF(DM38="","",IF(ISNA(VLOOKUP(DM38,$GS$30:$GW$44,3,FALSE)),0,VLOOKUP(DM38,$GS$30:$GW$44,3,FALSE)))</f>
        <v>0</v>
      </c>
      <c r="DV38" s="42">
        <f t="shared" ref="DV38:DV69" si="213">IF(DM38="","",IF(ISNA(VLOOKUP(DM38,$GS$30:$GW$44,4,FALSE)),0,VLOOKUP(DM38,$GS$30:$GW$44,4,FALSE)))</f>
        <v>0</v>
      </c>
      <c r="DW38" s="42">
        <f t="shared" ref="DW38:DW69" si="214">IF(DM38="","",IF(ISNA(VLOOKUP(DM38,$GS$30:$GW$44,5,FALSE)),0,VLOOKUP(DM38,$GS$30:$GW$44,5,FALSE)))</f>
        <v>0</v>
      </c>
      <c r="DX38" s="42">
        <f t="shared" ref="DX38:DX69" si="215">IF(DM38="","",DN38-DY38)</f>
        <v>3764917.6068376042</v>
      </c>
      <c r="DY38" s="42">
        <f>IF(DM38="",DY37,DN38-SUM($DO$6:DO38)+SUM($DP$6:DV38)-SUM($DW$6:DW38))</f>
        <v>8542602.3931623958</v>
      </c>
      <c r="DZ38" s="43">
        <f t="shared" si="131"/>
        <v>0.69409616179070976</v>
      </c>
      <c r="EA38" s="43"/>
      <c r="EB38" s="43" t="str">
        <f t="shared" si="146"/>
        <v>False</v>
      </c>
      <c r="EC38" s="41">
        <f t="shared" si="132"/>
        <v>220400</v>
      </c>
      <c r="ED38" s="41">
        <f t="shared" si="133"/>
        <v>606690</v>
      </c>
      <c r="EE38" s="41">
        <f t="shared" ref="EE38:EE69" si="216">IF(DM38="","",IF(DM38&lt;=$DI$9,$DF$9,$DF$20))</f>
        <v>902280</v>
      </c>
      <c r="EF38" s="41">
        <f t="shared" si="147"/>
        <v>12244.444444444445</v>
      </c>
      <c r="EG38" s="42">
        <f t="shared" si="134"/>
        <v>8426.25</v>
      </c>
      <c r="EH38" s="42">
        <f t="shared" si="135"/>
        <v>6265.8333333333321</v>
      </c>
      <c r="EI38" s="42">
        <f t="shared" ref="EI38:EI69" si="217">IF(DM38="","",ROUND(EC38-EL38,0))</f>
        <v>171422</v>
      </c>
      <c r="EJ38" s="42">
        <f t="shared" ref="EJ38:EJ69" si="218">IF(DM38="","",ROUND(ED38-EM38,0))</f>
        <v>269640</v>
      </c>
      <c r="EK38" s="42">
        <f t="shared" ref="EK38:EK69" si="219">IF(DM38="","",ROUND(EE38-EN38,0))</f>
        <v>200507</v>
      </c>
      <c r="EL38" s="42">
        <f>IF(DM38="","",EC38-SUM($EF$6:EF38)+SUM($DP$6:DP38))</f>
        <v>48977.777777777868</v>
      </c>
      <c r="EM38" s="42">
        <f>IF(DM38="","",ED38-SUM($EG$6:EG38)+SUM($DQ$6:DQ38))</f>
        <v>337050</v>
      </c>
      <c r="EN38" s="42">
        <f>IF(DM38="","",EE38-SUM($EH$6:EH38)+SUM($DR$6:DR38))</f>
        <v>701773.33333333326</v>
      </c>
      <c r="EO38" s="152">
        <f t="shared" ref="EO38:EO69" si="220">IF(DM38="","",SUM(EL38:EN38)/SUM(EC38:EE38))</f>
        <v>0.62901583299762975</v>
      </c>
      <c r="EP38" s="43"/>
      <c r="EQ38" s="42">
        <f t="shared" ref="EQ38:EQ69" si="221">IF(DM38="","",$DF$10)</f>
        <v>448050</v>
      </c>
      <c r="ER38" s="42">
        <f t="shared" ref="ER38:ER69" si="222">IF(DM38="","",$DF$11)</f>
        <v>248100</v>
      </c>
      <c r="ES38" s="42">
        <f t="shared" si="137"/>
        <v>3733.75</v>
      </c>
      <c r="ET38" s="42">
        <f t="shared" si="138"/>
        <v>6122.9807692307695</v>
      </c>
      <c r="EU38" s="42">
        <f t="shared" ref="EU38:EU69" si="223">IF(DM38="","",ROUND(EQ38-EW38,0))</f>
        <v>119480</v>
      </c>
      <c r="EV38" s="42">
        <f t="shared" ref="EV38:EV69" si="224">IF(DM38="","",ROUND(ER38-EX38,0))</f>
        <v>195935</v>
      </c>
      <c r="EW38" s="42">
        <f>IF(DM38="","",IF(DS38&gt;0,DS38,EQ38-SUM($ES$6:ES38)+SUM($DS$6:DS38)))</f>
        <v>328570</v>
      </c>
      <c r="EX38" s="42">
        <f>IF(DM38="","",IF(DT38&gt;0,DT38,ER38-SUM($ET$6:ET38)+SUM($DT$6:DT38)))</f>
        <v>52164.615384615317</v>
      </c>
      <c r="EY38" s="43">
        <f t="shared" ref="EY38:EY69" si="225">IF(DM38="","",IF(EX38/ER38&gt;1,1,EX38/ER38))</f>
        <v>0.21025641025640998</v>
      </c>
      <c r="EZ38" s="43">
        <f t="shared" ref="EZ38:EZ69" si="226">IF(DM38="","",IF(EW38/EQ38&gt;1,1,EW38/EQ38))</f>
        <v>0.73333333333333328</v>
      </c>
      <c r="FA38" s="43"/>
      <c r="FB38" s="42">
        <f t="shared" ref="FB38:FB69" si="227">IF(DM38="","",IF(DM38&lt;=$GS$30,2*$DF$12,2*$DF$23))</f>
        <v>4700000</v>
      </c>
      <c r="FC38" s="42">
        <f t="shared" ref="FC38:FC69" si="228">IF(DM38="","",($DF$13)*2)</f>
        <v>5182000</v>
      </c>
      <c r="FD38" s="41">
        <f t="shared" si="139"/>
        <v>54833.333333333336</v>
      </c>
      <c r="FE38" s="41">
        <f t="shared" si="140"/>
        <v>32914.583333333336</v>
      </c>
      <c r="FF38" s="42">
        <f t="shared" ref="FF38:FF69" si="229">IF(DM38="","",ROUND(FB38-FH38,0))</f>
        <v>1754667</v>
      </c>
      <c r="FG38" s="42">
        <f t="shared" ref="FG38:FG69" si="230">IF(DM38="","",ROUND(FC38-FI38,0))</f>
        <v>1053267</v>
      </c>
      <c r="FH38" s="42">
        <f>IF(DM38="","",IF(DU38&gt;0,DU38,FB38-SUM($FD$6:FD38)+SUM($DU$6:DU38)))</f>
        <v>2945333.333333334</v>
      </c>
      <c r="FI38" s="42">
        <f>IF(DM38="","",FC38-SUM($FE$6:FE38)+SUM($DV$6:DV38)-SUM($DW$6:DW38))</f>
        <v>4128733.333333333</v>
      </c>
      <c r="FJ38" s="152">
        <f t="shared" ref="FJ38:FJ69" si="231">IF(DM38="","",IF((FH38+FI38)/(FB38+FC38)&gt;1,1,(FH38+FI38)/(FB38+FC38)))</f>
        <v>0.71585374080820352</v>
      </c>
      <c r="FP38" s="8"/>
      <c r="FQ38" s="8"/>
      <c r="FR38" s="27">
        <v>4.2</v>
      </c>
      <c r="FS38" s="8"/>
      <c r="FT38" s="8"/>
      <c r="FU38" s="8"/>
      <c r="GC38" s="68">
        <f t="shared" si="195"/>
        <v>33</v>
      </c>
      <c r="GD38" s="78">
        <f t="shared" si="196"/>
        <v>0</v>
      </c>
      <c r="GE38" s="309">
        <f t="shared" si="197"/>
        <v>0.68397704963702843</v>
      </c>
      <c r="GF38" s="78">
        <f t="shared" si="198"/>
        <v>0</v>
      </c>
      <c r="GG38" s="310">
        <f t="shared" si="199"/>
        <v>0.61343991357160899</v>
      </c>
      <c r="GH38" s="78">
        <f t="shared" si="200"/>
        <v>0</v>
      </c>
      <c r="GI38" s="310">
        <f t="shared" si="201"/>
        <v>0.72499999999999998</v>
      </c>
      <c r="GJ38" s="311">
        <f t="shared" si="202"/>
        <v>0</v>
      </c>
      <c r="GK38" s="310">
        <f t="shared" si="203"/>
        <v>0.18557692307692275</v>
      </c>
      <c r="GL38" s="311">
        <f t="shared" si="204"/>
        <v>0</v>
      </c>
      <c r="GM38" s="310">
        <f t="shared" si="205"/>
        <v>0.70697417020845987</v>
      </c>
      <c r="GO38" s="266" t="s">
        <v>4</v>
      </c>
      <c r="GP38" s="266" t="s">
        <v>276</v>
      </c>
      <c r="GQ38" s="14" t="str">
        <f>IF(GS38="","",COUNT($GS$4:GS38))</f>
        <v/>
      </c>
      <c r="GR38" s="24" t="str">
        <f t="shared" si="166"/>
        <v/>
      </c>
      <c r="GS38" s="134" t="str">
        <f t="shared" si="181"/>
        <v/>
      </c>
      <c r="GT38" s="66" t="str">
        <f>IF(GS38="","",CH32)</f>
        <v/>
      </c>
      <c r="GU38" s="66" t="str">
        <f>IF(GS38="","",2*CG32)</f>
        <v/>
      </c>
      <c r="GV38" s="265" t="str">
        <f>IF($GS38="","",2*CG31)</f>
        <v/>
      </c>
      <c r="GW38" s="265" t="str">
        <f>IF($GS38="","",2*CH31)</f>
        <v/>
      </c>
      <c r="GX38" s="265" t="str">
        <f t="shared" si="182"/>
        <v/>
      </c>
      <c r="GY38" s="66" t="str">
        <f t="shared" si="183"/>
        <v/>
      </c>
      <c r="GZ38" s="134" t="str">
        <f t="shared" si="184"/>
        <v/>
      </c>
      <c r="HA38" s="14" t="str">
        <f>IF(HC38="","",_xlfn.RANK.EQ(HC38,$HC$4:$HC$44,1)+COUNTIF($HC$4:$HC$44,HC38)-COUNTIF($HC$4:HC38,HC38))</f>
        <v/>
      </c>
      <c r="HB38" s="24" t="str">
        <f t="shared" si="39"/>
        <v/>
      </c>
      <c r="HC38" s="14" t="str">
        <f t="shared" si="0"/>
        <v/>
      </c>
      <c r="HD38" s="24" t="str">
        <f t="shared" si="40"/>
        <v/>
      </c>
      <c r="HE38" s="13" t="str">
        <f t="shared" si="1"/>
        <v/>
      </c>
      <c r="HF38" s="13" t="str">
        <f t="shared" si="169"/>
        <v/>
      </c>
      <c r="HG38" s="13"/>
      <c r="HH38" s="24" t="str">
        <f t="shared" si="3"/>
        <v/>
      </c>
      <c r="HI38" s="66" t="str">
        <f t="shared" si="4"/>
        <v/>
      </c>
      <c r="HJ38" s="82" t="str">
        <f t="shared" si="5"/>
        <v/>
      </c>
      <c r="HK38" s="66" t="str">
        <f t="shared" si="6"/>
        <v/>
      </c>
      <c r="HL38" s="66" t="str">
        <f t="shared" si="7"/>
        <v/>
      </c>
      <c r="HM38" s="66" t="str">
        <f t="shared" si="8"/>
        <v/>
      </c>
      <c r="HN38" s="24" t="str">
        <f t="shared" si="170"/>
        <v/>
      </c>
      <c r="HO38" s="14" t="str">
        <f t="shared" si="9"/>
        <v/>
      </c>
      <c r="HP38" s="24" t="str">
        <f t="shared" si="10"/>
        <v/>
      </c>
      <c r="HQ38" s="24" t="str">
        <f t="shared" si="11"/>
        <v/>
      </c>
      <c r="HR38" s="13" t="str">
        <f t="shared" si="171"/>
        <v/>
      </c>
      <c r="HT38" s="13" t="str">
        <f t="shared" si="12"/>
        <v/>
      </c>
      <c r="HU38" s="75" t="str">
        <f t="shared" si="13"/>
        <v/>
      </c>
      <c r="HV38" s="75" t="str">
        <f t="shared" si="42"/>
        <v/>
      </c>
      <c r="HW38" s="75" t="str">
        <f t="shared" si="14"/>
        <v/>
      </c>
      <c r="HX38" s="75" t="str">
        <f t="shared" si="15"/>
        <v/>
      </c>
      <c r="HY38" s="66" t="str">
        <f t="shared" si="16"/>
        <v/>
      </c>
      <c r="HZ38" s="151" t="str">
        <f t="shared" si="17"/>
        <v/>
      </c>
      <c r="IA38" s="151" t="str">
        <f t="shared" si="18"/>
        <v/>
      </c>
      <c r="IB38" s="151"/>
      <c r="IC38" s="149" t="str">
        <f t="shared" si="19"/>
        <v/>
      </c>
      <c r="ID38" s="151" t="str">
        <f t="shared" si="20"/>
        <v/>
      </c>
      <c r="IE38" s="33" t="str">
        <f t="shared" si="21"/>
        <v/>
      </c>
      <c r="IF38" s="33" t="str">
        <f t="shared" si="22"/>
        <v/>
      </c>
      <c r="IG38" s="33" t="str">
        <f t="shared" si="23"/>
        <v/>
      </c>
      <c r="IH38" s="33" t="str">
        <f t="shared" si="24"/>
        <v/>
      </c>
      <c r="II38" s="33" t="str">
        <f t="shared" si="25"/>
        <v/>
      </c>
      <c r="IM38" s="13"/>
      <c r="IN38" s="13"/>
      <c r="IO38" s="13"/>
      <c r="IP38" s="13"/>
      <c r="IQ38" s="13"/>
    </row>
    <row r="39" spans="1:251" x14ac:dyDescent="0.2">
      <c r="A39" s="9"/>
      <c r="B39" s="423"/>
      <c r="C39" s="154" t="str">
        <f t="shared" si="180"/>
        <v>12    Airframe  6Y SI</v>
      </c>
      <c r="D39" s="154"/>
      <c r="E39" s="424"/>
      <c r="F39" s="424"/>
      <c r="G39" s="425">
        <f t="shared" si="172"/>
        <v>144</v>
      </c>
      <c r="H39" s="425"/>
      <c r="I39" s="426">
        <f t="shared" si="173"/>
        <v>45658</v>
      </c>
      <c r="J39" s="425">
        <f t="shared" si="174"/>
        <v>42000</v>
      </c>
      <c r="K39" s="425">
        <f t="shared" si="175"/>
        <v>21000</v>
      </c>
      <c r="L39" s="425"/>
      <c r="M39" s="425">
        <f>IF(AND(NOT(C38=""),C39=""),SUM($M$28:M38),IF(C39="","",IF(HZ15="Engine",SUM(IE15:IF15),IE15)))</f>
        <v>686673.49999999988</v>
      </c>
      <c r="N39" s="154"/>
      <c r="O39" s="156" t="str">
        <f t="shared" si="176"/>
        <v/>
      </c>
      <c r="Q39" s="427" t="str">
        <f>IF(AND(NOT(C38=""),C39=""),SUM($Q$28:Q38),IF(C39="","",IF(HZ15="Engine",IE15,"")))</f>
        <v/>
      </c>
      <c r="R39" s="154"/>
      <c r="S39" s="427" t="str">
        <f>IF(AND(NOT(C38=""),C39=""),SUM($S$28:S38),IF(C39="","",IF(HZ15="Engine",IF15,"")))</f>
        <v/>
      </c>
      <c r="U39" s="425" t="str">
        <f t="shared" si="177"/>
        <v/>
      </c>
      <c r="V39" s="425"/>
      <c r="W39" s="425" t="str">
        <f t="shared" si="178"/>
        <v/>
      </c>
      <c r="X39" s="428" t="str">
        <f>IF(AND(NOT(C38=""),C39=""),SUM($X$28:X38),IF(C39="","",IF(HZ15="Engine",-IG15,"")))</f>
        <v/>
      </c>
      <c r="Y39" s="429" t="str">
        <f t="shared" si="179"/>
        <v/>
      </c>
      <c r="Z39" s="26"/>
      <c r="AC39" s="20">
        <v>4.3</v>
      </c>
      <c r="AD39" s="18">
        <f>AD38-($AD$36-$AD$41)/5</f>
        <v>0.85399999999999998</v>
      </c>
      <c r="AE39" s="18">
        <f>AE38-($AE$36-$AE$41)/5</f>
        <v>1.0780000000000003</v>
      </c>
      <c r="AF39" s="18">
        <f>AF38-($AF$36-$AF$41)/5</f>
        <v>0.85399999999999998</v>
      </c>
      <c r="AG39" s="18">
        <f>AG38-($AG$36-$AG$41)/5</f>
        <v>1.0660000000000001</v>
      </c>
      <c r="AH39" s="50">
        <f t="shared" si="156"/>
        <v>2533300.0000000005</v>
      </c>
      <c r="AI39" s="51">
        <f t="shared" si="157"/>
        <v>80.275999999999996</v>
      </c>
      <c r="AJ39" s="50">
        <f t="shared" si="91"/>
        <v>7338.9248951582176</v>
      </c>
      <c r="AK39" s="50">
        <f t="shared" si="92"/>
        <v>31557.377049180333</v>
      </c>
      <c r="AL39" s="348">
        <f t="shared" si="185"/>
        <v>2630355</v>
      </c>
      <c r="AM39" s="354">
        <f t="shared" si="186"/>
        <v>131.70281249999999</v>
      </c>
      <c r="AN39" s="348">
        <f t="shared" si="187"/>
        <v>4644.6271989543056</v>
      </c>
      <c r="AO39" s="348">
        <f t="shared" si="188"/>
        <v>19971.896955503515</v>
      </c>
      <c r="AP39" s="138"/>
      <c r="AQ39" s="349">
        <f t="shared" si="189"/>
        <v>4.3</v>
      </c>
      <c r="AR39" s="50">
        <f t="shared" si="158"/>
        <v>2630355</v>
      </c>
      <c r="AS39" s="51">
        <f t="shared" si="190"/>
        <v>131.70281249999999</v>
      </c>
      <c r="AT39" s="348">
        <f t="shared" si="191"/>
        <v>4644.6271989543056</v>
      </c>
      <c r="AU39" s="348">
        <f t="shared" si="192"/>
        <v>19971.896955503515</v>
      </c>
      <c r="AV39" s="350">
        <f t="shared" si="49"/>
        <v>2630355</v>
      </c>
      <c r="AW39" s="349">
        <f t="shared" si="162"/>
        <v>131.70281249999999</v>
      </c>
      <c r="AX39" s="348">
        <f t="shared" si="193"/>
        <v>4644.6271989543056</v>
      </c>
      <c r="AY39" s="348">
        <f t="shared" si="194"/>
        <v>19971.896955503515</v>
      </c>
      <c r="AZ39" s="50"/>
      <c r="BA39" s="50"/>
      <c r="BB39" s="50"/>
      <c r="BC39" s="23"/>
      <c r="BD39" s="27"/>
      <c r="BE39" s="23"/>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M39" s="44">
        <f t="shared" ref="DM39:DM70" si="232">IF(DM38="","",IF(DM38&gt;=$FW$23,"",DM38+1))</f>
        <v>33</v>
      </c>
      <c r="DN39" s="41">
        <f t="shared" si="206"/>
        <v>12307520</v>
      </c>
      <c r="DO39" s="41">
        <f t="shared" ref="DO39:DO70" si="233">IF(DM39="","",SUM(EF39:EH39)+SUM(ES39:ET39)+SUM(FD39:FE39))</f>
        <v>124541.17521367522</v>
      </c>
      <c r="DP39" s="42">
        <f t="shared" si="207"/>
        <v>0</v>
      </c>
      <c r="DQ39" s="42">
        <f t="shared" si="208"/>
        <v>0</v>
      </c>
      <c r="DR39" s="42">
        <f t="shared" si="209"/>
        <v>0</v>
      </c>
      <c r="DS39" s="42">
        <f t="shared" si="210"/>
        <v>0</v>
      </c>
      <c r="DT39" s="42">
        <f t="shared" si="211"/>
        <v>0</v>
      </c>
      <c r="DU39" s="42">
        <f t="shared" si="212"/>
        <v>0</v>
      </c>
      <c r="DV39" s="42">
        <f t="shared" si="213"/>
        <v>0</v>
      </c>
      <c r="DW39" s="42">
        <f t="shared" si="214"/>
        <v>0</v>
      </c>
      <c r="DX39" s="42">
        <f t="shared" si="215"/>
        <v>3889458.7820512801</v>
      </c>
      <c r="DY39" s="42">
        <f>IF(DM39="",DY38,DN39-SUM($DO$6:DO39)+SUM($DP$6:DV39)-SUM($DW$6:DW39))</f>
        <v>8418061.2179487199</v>
      </c>
      <c r="DZ39" s="43">
        <f t="shared" ref="DZ39:DZ70" si="234">IF(DM39="",DZ38,IF(DY39/DN39&gt;1,1,DY39/DN39))</f>
        <v>0.68397704963702843</v>
      </c>
      <c r="EA39" s="43"/>
      <c r="EB39" s="43" t="str">
        <f t="shared" si="146"/>
        <v>False</v>
      </c>
      <c r="EC39" s="41">
        <f t="shared" si="132"/>
        <v>220400</v>
      </c>
      <c r="ED39" s="41">
        <f t="shared" si="133"/>
        <v>606690</v>
      </c>
      <c r="EE39" s="41">
        <f t="shared" si="216"/>
        <v>902280</v>
      </c>
      <c r="EF39" s="41">
        <f t="shared" ref="EF39:EF70" si="235">IF(DM39="","",IF(AND(DM39&lt;=$DI$8,EB39="True"),$GA$4*$DK$6,IF(AND(DM39&lt;=$DI$8,EB39="False"),$GA$4*$DK$7,IF(AND(DM39&gt;$DI$8,EB39="True"),$GA$4*$DK$17,$GA$4*$DK$18))))</f>
        <v>12244.444444444445</v>
      </c>
      <c r="EG39" s="42">
        <f t="shared" ref="EG39:EG70" si="236">IF(DM39="","",IF(DM39&lt;=$DI$8,$GA$4*$DK$8,$GA$4*$DK$19))</f>
        <v>8426.25</v>
      </c>
      <c r="EH39" s="42">
        <f t="shared" ref="EH39:EH70" si="237">IF(DM39="","",IF(DM39&lt;=$DI$9,$GA$4*$DK$9,$GA$4*$DK$20))</f>
        <v>6265.8333333333321</v>
      </c>
      <c r="EI39" s="42">
        <f t="shared" si="217"/>
        <v>183667</v>
      </c>
      <c r="EJ39" s="42">
        <f t="shared" si="218"/>
        <v>278066</v>
      </c>
      <c r="EK39" s="42">
        <f t="shared" si="219"/>
        <v>206773</v>
      </c>
      <c r="EL39" s="42">
        <f>IF(DM39="","",EC39-SUM($EF$6:EF39)+SUM($DP$6:DP39))</f>
        <v>36733.33333333343</v>
      </c>
      <c r="EM39" s="42">
        <f>IF(DM39="","",ED39-SUM($EG$6:EG39)+SUM($DQ$6:DQ39))</f>
        <v>328623.75</v>
      </c>
      <c r="EN39" s="42">
        <f>IF(DM39="","",EE39-SUM($EH$6:EH39)+SUM($DR$6:DR39))</f>
        <v>695507.5</v>
      </c>
      <c r="EO39" s="152">
        <f t="shared" si="220"/>
        <v>0.61343991357160899</v>
      </c>
      <c r="EP39" s="43"/>
      <c r="EQ39" s="42">
        <f t="shared" si="221"/>
        <v>448050</v>
      </c>
      <c r="ER39" s="42">
        <f t="shared" si="222"/>
        <v>248100</v>
      </c>
      <c r="ES39" s="42">
        <f t="shared" ref="ES39:ES70" si="238">IF(DM39="","",$GA$4*$DK$10)</f>
        <v>3733.75</v>
      </c>
      <c r="ET39" s="42">
        <f t="shared" ref="ET39:ET70" si="239">IF(DM39="","",$GA$4*$DK$11)</f>
        <v>6122.9807692307695</v>
      </c>
      <c r="EU39" s="42">
        <f t="shared" si="223"/>
        <v>123214</v>
      </c>
      <c r="EV39" s="42">
        <f t="shared" si="224"/>
        <v>202058</v>
      </c>
      <c r="EW39" s="42">
        <f>IF(DM39="","",IF(DS39&gt;0,DS39,EQ39-SUM($ES$6:ES39)+SUM($DS$6:DS39)))</f>
        <v>324836.25</v>
      </c>
      <c r="EX39" s="42">
        <f>IF(DM39="","",IF(DT39&gt;0,DT39,ER39-SUM($ET$6:ET39)+SUM($DT$6:DT39)))</f>
        <v>46041.634615384537</v>
      </c>
      <c r="EY39" s="43">
        <f t="shared" si="225"/>
        <v>0.18557692307692275</v>
      </c>
      <c r="EZ39" s="43">
        <f t="shared" si="226"/>
        <v>0.72499999999999998</v>
      </c>
      <c r="FA39" s="43"/>
      <c r="FB39" s="42">
        <f t="shared" si="227"/>
        <v>4700000</v>
      </c>
      <c r="FC39" s="42">
        <f t="shared" si="228"/>
        <v>5182000</v>
      </c>
      <c r="FD39" s="41">
        <f t="shared" ref="FD39:FD70" si="240">IF(DM39="","",IF(DM39&lt;=$GA$8,$GA$4*$DK$12,$GA$4*$DK$23))</f>
        <v>54833.333333333336</v>
      </c>
      <c r="FE39" s="41">
        <f t="shared" ref="FE39:FE70" si="241">IF(DM39="","",$GA$4*($DK$24))</f>
        <v>32914.583333333336</v>
      </c>
      <c r="FF39" s="42">
        <f t="shared" si="229"/>
        <v>1809500</v>
      </c>
      <c r="FG39" s="42">
        <f t="shared" si="230"/>
        <v>1086181</v>
      </c>
      <c r="FH39" s="42">
        <f>IF(DM39="","",IF(DU39&gt;0,DU39,FB39-SUM($FD$6:FD39)+SUM($DU$6:DU39)))</f>
        <v>2890500.0000000009</v>
      </c>
      <c r="FI39" s="42">
        <f>IF(DM39="","",FC39-SUM($FE$6:FE39)+SUM($DV$6:DV39)-SUM($DW$6:DW39))</f>
        <v>4095818.7499999995</v>
      </c>
      <c r="FJ39" s="152">
        <f t="shared" si="231"/>
        <v>0.70697417020845987</v>
      </c>
      <c r="FP39" s="8"/>
      <c r="FQ39" s="8"/>
      <c r="FR39" s="27">
        <v>4.3</v>
      </c>
      <c r="FS39" s="8"/>
      <c r="FT39" s="8"/>
      <c r="FU39" s="8"/>
      <c r="GC39" s="68">
        <f t="shared" si="195"/>
        <v>34</v>
      </c>
      <c r="GD39" s="78">
        <f t="shared" si="196"/>
        <v>0</v>
      </c>
      <c r="GE39" s="309">
        <f t="shared" si="197"/>
        <v>0.67385793748334721</v>
      </c>
      <c r="GF39" s="78">
        <f t="shared" si="198"/>
        <v>0</v>
      </c>
      <c r="GG39" s="310">
        <f t="shared" si="199"/>
        <v>0.59786399414558811</v>
      </c>
      <c r="GH39" s="78">
        <f t="shared" si="200"/>
        <v>0</v>
      </c>
      <c r="GI39" s="310">
        <f t="shared" si="201"/>
        <v>0.71666666666666667</v>
      </c>
      <c r="GJ39" s="311">
        <f t="shared" si="202"/>
        <v>0</v>
      </c>
      <c r="GK39" s="310">
        <f t="shared" si="203"/>
        <v>0.16089743589743555</v>
      </c>
      <c r="GL39" s="311">
        <f t="shared" si="204"/>
        <v>0</v>
      </c>
      <c r="GM39" s="310">
        <f t="shared" si="205"/>
        <v>0.69809459960871623</v>
      </c>
      <c r="GO39" s="266" t="s">
        <v>4</v>
      </c>
      <c r="GP39" s="266" t="s">
        <v>276</v>
      </c>
      <c r="GQ39" s="14" t="str">
        <f>IF(GS39="","",COUNT($GS$4:GS39))</f>
        <v/>
      </c>
      <c r="GR39" s="24" t="str">
        <f t="shared" si="166"/>
        <v/>
      </c>
      <c r="GS39" s="134" t="str">
        <f t="shared" si="181"/>
        <v/>
      </c>
      <c r="GT39" s="66" t="str">
        <f>IF(GS39="","",CK32)</f>
        <v/>
      </c>
      <c r="GU39" s="66" t="str">
        <f>IF(GS39="","",2*CJ32)</f>
        <v/>
      </c>
      <c r="GV39" s="265" t="str">
        <f>IF($GS39="","",2*CJ31)</f>
        <v/>
      </c>
      <c r="GW39" s="265" t="str">
        <f>IF($GS39="","",2*CK31)</f>
        <v/>
      </c>
      <c r="GX39" s="265" t="str">
        <f t="shared" si="182"/>
        <v/>
      </c>
      <c r="GY39" s="66" t="str">
        <f t="shared" si="183"/>
        <v/>
      </c>
      <c r="GZ39" s="134" t="str">
        <f t="shared" si="184"/>
        <v/>
      </c>
      <c r="HA39" s="14" t="str">
        <f>IF(HC39="","",_xlfn.RANK.EQ(HC39,$HC$4:$HC$44,1)+COUNTIF($HC$4:$HC$44,HC39)-COUNTIF($HC$4:HC39,HC39))</f>
        <v/>
      </c>
      <c r="HB39" s="24" t="str">
        <f t="shared" si="39"/>
        <v/>
      </c>
      <c r="HC39" s="14" t="str">
        <f t="shared" si="0"/>
        <v/>
      </c>
      <c r="HD39" s="24" t="str">
        <f t="shared" si="40"/>
        <v/>
      </c>
      <c r="HE39" s="13" t="str">
        <f t="shared" si="1"/>
        <v/>
      </c>
      <c r="HF39" s="13" t="str">
        <f t="shared" si="169"/>
        <v/>
      </c>
      <c r="HG39" s="13"/>
      <c r="HH39" s="24" t="str">
        <f t="shared" si="3"/>
        <v/>
      </c>
      <c r="HI39" s="66" t="str">
        <f t="shared" si="4"/>
        <v/>
      </c>
      <c r="HJ39" s="82" t="str">
        <f t="shared" si="5"/>
        <v/>
      </c>
      <c r="HK39" s="66" t="str">
        <f t="shared" si="6"/>
        <v/>
      </c>
      <c r="HL39" s="66" t="str">
        <f t="shared" si="7"/>
        <v/>
      </c>
      <c r="HM39" s="66" t="str">
        <f t="shared" si="8"/>
        <v/>
      </c>
      <c r="HN39" s="24" t="str">
        <f t="shared" si="170"/>
        <v/>
      </c>
      <c r="HO39" s="14" t="str">
        <f t="shared" si="9"/>
        <v/>
      </c>
      <c r="HP39" s="24" t="str">
        <f t="shared" si="10"/>
        <v/>
      </c>
      <c r="HQ39" s="24" t="str">
        <f t="shared" si="11"/>
        <v/>
      </c>
      <c r="HR39" s="13" t="str">
        <f t="shared" si="171"/>
        <v/>
      </c>
      <c r="HT39" s="13" t="str">
        <f t="shared" si="12"/>
        <v/>
      </c>
      <c r="HU39" s="75" t="str">
        <f t="shared" si="13"/>
        <v/>
      </c>
      <c r="HV39" s="75" t="str">
        <f t="shared" si="42"/>
        <v/>
      </c>
      <c r="HW39" s="75" t="str">
        <f t="shared" si="14"/>
        <v/>
      </c>
      <c r="HX39" s="75" t="str">
        <f t="shared" si="15"/>
        <v/>
      </c>
      <c r="HY39" s="66" t="str">
        <f t="shared" si="16"/>
        <v/>
      </c>
      <c r="HZ39" s="151" t="str">
        <f t="shared" si="17"/>
        <v/>
      </c>
      <c r="IA39" s="151" t="str">
        <f t="shared" si="18"/>
        <v/>
      </c>
      <c r="IB39" s="151"/>
      <c r="IC39" s="149" t="str">
        <f t="shared" si="19"/>
        <v/>
      </c>
      <c r="ID39" s="151" t="str">
        <f t="shared" si="20"/>
        <v/>
      </c>
      <c r="IE39" s="33" t="str">
        <f t="shared" si="21"/>
        <v/>
      </c>
      <c r="IF39" s="33" t="str">
        <f t="shared" si="22"/>
        <v/>
      </c>
      <c r="IG39" s="33" t="str">
        <f t="shared" si="23"/>
        <v/>
      </c>
      <c r="IH39" s="33" t="str">
        <f t="shared" si="24"/>
        <v/>
      </c>
      <c r="II39" s="33" t="str">
        <f t="shared" si="25"/>
        <v/>
      </c>
      <c r="IM39" s="13"/>
      <c r="IN39" s="13"/>
      <c r="IO39" s="13"/>
      <c r="IP39" s="13"/>
      <c r="IQ39" s="13"/>
    </row>
    <row r="40" spans="1:251" x14ac:dyDescent="0.2">
      <c r="A40" s="9"/>
      <c r="B40" s="423"/>
      <c r="C40" s="154" t="str">
        <f t="shared" si="180"/>
        <v>13    Airframe  12Y SI</v>
      </c>
      <c r="D40" s="154"/>
      <c r="E40" s="424"/>
      <c r="F40" s="424"/>
      <c r="G40" s="425">
        <f t="shared" si="172"/>
        <v>144</v>
      </c>
      <c r="H40" s="425"/>
      <c r="I40" s="426">
        <f t="shared" si="173"/>
        <v>45658</v>
      </c>
      <c r="J40" s="425">
        <f t="shared" si="174"/>
        <v>42000</v>
      </c>
      <c r="K40" s="425">
        <f t="shared" si="175"/>
        <v>21000</v>
      </c>
      <c r="L40" s="425"/>
      <c r="M40" s="425">
        <f>IF(AND(NOT(C39=""),C40=""),SUM($M$28:M39),IF(C40="","",IF(HZ16="Engine",SUM(IE16:IF16),IE16)))</f>
        <v>902280</v>
      </c>
      <c r="N40" s="154"/>
      <c r="O40" s="156" t="str">
        <f t="shared" si="176"/>
        <v/>
      </c>
      <c r="Q40" s="427" t="str">
        <f>IF(AND(NOT(C39=""),C40=""),SUM($Q$28:Q39),IF(C40="","",IF(HZ16="Engine",IE16,"")))</f>
        <v/>
      </c>
      <c r="R40" s="154"/>
      <c r="S40" s="427" t="str">
        <f>IF(AND(NOT(C39=""),C40=""),SUM($S$28:S39),IF(C40="","",IF(HZ16="Engine",IF16,"")))</f>
        <v/>
      </c>
      <c r="U40" s="425" t="str">
        <f t="shared" si="177"/>
        <v/>
      </c>
      <c r="V40" s="425"/>
      <c r="W40" s="425" t="str">
        <f t="shared" si="178"/>
        <v/>
      </c>
      <c r="X40" s="428" t="str">
        <f>IF(AND(NOT(C39=""),C40=""),SUM($X$28:X39),IF(C40="","",IF(HZ16="Engine",-IG16,"")))</f>
        <v/>
      </c>
      <c r="Y40" s="429" t="str">
        <f t="shared" si="179"/>
        <v/>
      </c>
      <c r="Z40" s="26"/>
      <c r="AC40" s="20">
        <v>4.4000000000000004</v>
      </c>
      <c r="AD40" s="18">
        <f>AD39-($AD$36-$AD$41)/5</f>
        <v>0.85199999999999998</v>
      </c>
      <c r="AE40" s="18">
        <f>AE39-($AE$36-$AE$41)/5</f>
        <v>1.0790000000000004</v>
      </c>
      <c r="AF40" s="18">
        <f>AF39-($AF$36-$AF$41)/5</f>
        <v>0.85199999999999998</v>
      </c>
      <c r="AG40" s="18">
        <f>AG39-($AG$36-$AG$41)/5</f>
        <v>1.0680000000000001</v>
      </c>
      <c r="AH40" s="50">
        <f t="shared" si="156"/>
        <v>2535650.0000000009</v>
      </c>
      <c r="AI40" s="51">
        <f t="shared" si="157"/>
        <v>80.087999999999994</v>
      </c>
      <c r="AJ40" s="50">
        <f t="shared" si="91"/>
        <v>7195.6359368331223</v>
      </c>
      <c r="AK40" s="50">
        <f t="shared" si="92"/>
        <v>31660.798122065742</v>
      </c>
      <c r="AL40" s="348">
        <f t="shared" si="185"/>
        <v>2635290</v>
      </c>
      <c r="AM40" s="354">
        <f t="shared" si="186"/>
        <v>131.394375</v>
      </c>
      <c r="AN40" s="348">
        <f t="shared" si="187"/>
        <v>4558.2586427656852</v>
      </c>
      <c r="AO40" s="348">
        <f t="shared" si="188"/>
        <v>20056.338028169015</v>
      </c>
      <c r="AP40" s="138"/>
      <c r="AQ40" s="349">
        <f t="shared" si="189"/>
        <v>4.4000000000000004</v>
      </c>
      <c r="AR40" s="50">
        <f t="shared" si="158"/>
        <v>2635290</v>
      </c>
      <c r="AS40" s="51">
        <f t="shared" si="190"/>
        <v>131.394375</v>
      </c>
      <c r="AT40" s="348">
        <f t="shared" si="191"/>
        <v>4558.2586427656852</v>
      </c>
      <c r="AU40" s="348">
        <f t="shared" si="192"/>
        <v>20056.338028169015</v>
      </c>
      <c r="AV40" s="350">
        <f t="shared" si="49"/>
        <v>2635290</v>
      </c>
      <c r="AW40" s="349">
        <f t="shared" si="162"/>
        <v>131.394375</v>
      </c>
      <c r="AX40" s="348">
        <f t="shared" si="193"/>
        <v>4558.2586427656852</v>
      </c>
      <c r="AY40" s="348">
        <f t="shared" si="194"/>
        <v>20056.338028169015</v>
      </c>
      <c r="AZ40" s="50"/>
      <c r="BA40" s="50"/>
      <c r="BB40" s="50"/>
      <c r="BC40" s="23"/>
      <c r="BD40" s="27"/>
      <c r="BE40" s="23"/>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M40" s="44">
        <f t="shared" si="232"/>
        <v>34</v>
      </c>
      <c r="DN40" s="41">
        <f t="shared" si="206"/>
        <v>12307520</v>
      </c>
      <c r="DO40" s="41">
        <f t="shared" si="233"/>
        <v>124541.17521367522</v>
      </c>
      <c r="DP40" s="42">
        <f t="shared" si="207"/>
        <v>0</v>
      </c>
      <c r="DQ40" s="42">
        <f t="shared" si="208"/>
        <v>0</v>
      </c>
      <c r="DR40" s="42">
        <f t="shared" si="209"/>
        <v>0</v>
      </c>
      <c r="DS40" s="42">
        <f t="shared" si="210"/>
        <v>0</v>
      </c>
      <c r="DT40" s="42">
        <f t="shared" si="211"/>
        <v>0</v>
      </c>
      <c r="DU40" s="42">
        <f t="shared" si="212"/>
        <v>0</v>
      </c>
      <c r="DV40" s="42">
        <f t="shared" si="213"/>
        <v>0</v>
      </c>
      <c r="DW40" s="42">
        <f t="shared" si="214"/>
        <v>0</v>
      </c>
      <c r="DX40" s="42">
        <f t="shared" si="215"/>
        <v>4013999.9572649542</v>
      </c>
      <c r="DY40" s="42">
        <f>IF(DM40="",DY39,DN40-SUM($DO$6:DO40)+SUM($DP$6:DV40)-SUM($DW$6:DW40))</f>
        <v>8293520.0427350458</v>
      </c>
      <c r="DZ40" s="43">
        <f t="shared" si="234"/>
        <v>0.67385793748334721</v>
      </c>
      <c r="EA40" s="43"/>
      <c r="EB40" s="43" t="str">
        <f t="shared" si="146"/>
        <v>False</v>
      </c>
      <c r="EC40" s="41">
        <f t="shared" si="132"/>
        <v>220400</v>
      </c>
      <c r="ED40" s="41">
        <f t="shared" si="133"/>
        <v>606690</v>
      </c>
      <c r="EE40" s="41">
        <f t="shared" si="216"/>
        <v>902280</v>
      </c>
      <c r="EF40" s="41">
        <f t="shared" si="235"/>
        <v>12244.444444444445</v>
      </c>
      <c r="EG40" s="42">
        <f t="shared" si="236"/>
        <v>8426.25</v>
      </c>
      <c r="EH40" s="42">
        <f t="shared" si="237"/>
        <v>6265.8333333333321</v>
      </c>
      <c r="EI40" s="42">
        <f t="shared" si="217"/>
        <v>195911</v>
      </c>
      <c r="EJ40" s="42">
        <f t="shared" si="218"/>
        <v>286493</v>
      </c>
      <c r="EK40" s="42">
        <f t="shared" si="219"/>
        <v>213038</v>
      </c>
      <c r="EL40" s="42">
        <f>IF(DM40="","",EC40-SUM($EF$6:EF40)+SUM($DP$6:DP40))</f>
        <v>24488.888888888992</v>
      </c>
      <c r="EM40" s="42">
        <f>IF(DM40="","",ED40-SUM($EG$6:EG40)+SUM($DQ$6:DQ40))</f>
        <v>320197.5</v>
      </c>
      <c r="EN40" s="42">
        <f>IF(DM40="","",EE40-SUM($EH$6:EH40)+SUM($DR$6:DR40))</f>
        <v>689241.66666666663</v>
      </c>
      <c r="EO40" s="152">
        <f t="shared" si="220"/>
        <v>0.59786399414558811</v>
      </c>
      <c r="EP40" s="43"/>
      <c r="EQ40" s="42">
        <f t="shared" si="221"/>
        <v>448050</v>
      </c>
      <c r="ER40" s="42">
        <f t="shared" si="222"/>
        <v>248100</v>
      </c>
      <c r="ES40" s="42">
        <f t="shared" si="238"/>
        <v>3733.75</v>
      </c>
      <c r="ET40" s="42">
        <f t="shared" si="239"/>
        <v>6122.9807692307695</v>
      </c>
      <c r="EU40" s="42">
        <f t="shared" si="223"/>
        <v>126948</v>
      </c>
      <c r="EV40" s="42">
        <f t="shared" si="224"/>
        <v>208181</v>
      </c>
      <c r="EW40" s="42">
        <f>IF(DM40="","",IF(DS40&gt;0,DS40,EQ40-SUM($ES$6:ES40)+SUM($DS$6:DS40)))</f>
        <v>321102.5</v>
      </c>
      <c r="EX40" s="42">
        <f>IF(DM40="","",IF(DT40&gt;0,DT40,ER40-SUM($ET$6:ET40)+SUM($DT$6:DT40)))</f>
        <v>39918.653846153757</v>
      </c>
      <c r="EY40" s="43">
        <f t="shared" si="225"/>
        <v>0.16089743589743555</v>
      </c>
      <c r="EZ40" s="43">
        <f t="shared" si="226"/>
        <v>0.71666666666666667</v>
      </c>
      <c r="FA40" s="43"/>
      <c r="FB40" s="42">
        <f t="shared" si="227"/>
        <v>4700000</v>
      </c>
      <c r="FC40" s="42">
        <f t="shared" si="228"/>
        <v>5182000</v>
      </c>
      <c r="FD40" s="41">
        <f t="shared" si="240"/>
        <v>54833.333333333336</v>
      </c>
      <c r="FE40" s="41">
        <f t="shared" si="241"/>
        <v>32914.583333333336</v>
      </c>
      <c r="FF40" s="42">
        <f t="shared" si="229"/>
        <v>1864333</v>
      </c>
      <c r="FG40" s="42">
        <f t="shared" si="230"/>
        <v>1119096</v>
      </c>
      <c r="FH40" s="42">
        <f>IF(DM40="","",IF(DU40&gt;0,DU40,FB40-SUM($FD$6:FD40)+SUM($DU$6:DU40)))</f>
        <v>2835666.6666666674</v>
      </c>
      <c r="FI40" s="42">
        <f>IF(DM40="","",FC40-SUM($FE$6:FE40)+SUM($DV$6:DV40)-SUM($DW$6:DW40))</f>
        <v>4062904.166666666</v>
      </c>
      <c r="FJ40" s="152">
        <f t="shared" si="231"/>
        <v>0.69809459960871623</v>
      </c>
      <c r="FO40" s="8"/>
      <c r="FP40" s="8"/>
      <c r="FQ40" s="8"/>
      <c r="FR40" s="27">
        <v>4.4000000000000004</v>
      </c>
      <c r="FS40" s="8"/>
      <c r="FT40" s="8"/>
      <c r="FU40" s="8"/>
      <c r="GC40" s="68">
        <f t="shared" si="195"/>
        <v>35</v>
      </c>
      <c r="GD40" s="78">
        <f t="shared" si="196"/>
        <v>0</v>
      </c>
      <c r="GE40" s="309">
        <f t="shared" si="197"/>
        <v>0.66373882532966599</v>
      </c>
      <c r="GF40" s="78">
        <f t="shared" si="198"/>
        <v>0</v>
      </c>
      <c r="GG40" s="310">
        <f t="shared" si="199"/>
        <v>0.58228807471956712</v>
      </c>
      <c r="GH40" s="78">
        <f t="shared" si="200"/>
        <v>0</v>
      </c>
      <c r="GI40" s="310">
        <f t="shared" si="201"/>
        <v>0.70833333333333337</v>
      </c>
      <c r="GJ40" s="311">
        <f t="shared" si="202"/>
        <v>0</v>
      </c>
      <c r="GK40" s="310">
        <f t="shared" si="203"/>
        <v>0.13621794871794832</v>
      </c>
      <c r="GL40" s="311">
        <f t="shared" si="204"/>
        <v>0</v>
      </c>
      <c r="GM40" s="310">
        <f t="shared" si="205"/>
        <v>0.68921502900897258</v>
      </c>
      <c r="GO40" s="266" t="s">
        <v>4</v>
      </c>
      <c r="GP40" s="266" t="s">
        <v>276</v>
      </c>
      <c r="GQ40" s="14" t="str">
        <f>IF(GS40="","",COUNT($GS$4:GS40))</f>
        <v/>
      </c>
      <c r="GR40" s="24" t="str">
        <f t="shared" si="166"/>
        <v/>
      </c>
      <c r="GS40" s="134" t="str">
        <f t="shared" si="181"/>
        <v/>
      </c>
      <c r="GT40" s="66" t="str">
        <f>IF(GS40="","",CN32)</f>
        <v/>
      </c>
      <c r="GU40" s="66" t="str">
        <f>IF(GS40="","",2*CM32)</f>
        <v/>
      </c>
      <c r="GV40" s="265" t="str">
        <f>IF($GS40="","",2*CN31)</f>
        <v/>
      </c>
      <c r="GW40" s="265" t="str">
        <f>IF($GS40="","",2*CN31)</f>
        <v/>
      </c>
      <c r="GX40" s="265" t="str">
        <f t="shared" si="182"/>
        <v/>
      </c>
      <c r="GY40" s="66" t="str">
        <f t="shared" si="183"/>
        <v/>
      </c>
      <c r="GZ40" s="134" t="str">
        <f t="shared" si="184"/>
        <v/>
      </c>
      <c r="HA40" s="14" t="str">
        <f>IF(HC40="","",_xlfn.RANK.EQ(HC40,$HC$4:$HC$44,1)+COUNTIF($HC$4:$HC$44,HC40)-COUNTIF($HC$4:HC40,HC40))</f>
        <v/>
      </c>
      <c r="HB40" s="24" t="str">
        <f t="shared" si="39"/>
        <v/>
      </c>
      <c r="HC40" s="14" t="str">
        <f t="shared" si="0"/>
        <v/>
      </c>
      <c r="HD40" s="24" t="str">
        <f t="shared" si="40"/>
        <v/>
      </c>
      <c r="HE40" s="13" t="str">
        <f t="shared" si="1"/>
        <v/>
      </c>
      <c r="HF40" s="13" t="str">
        <f t="shared" si="169"/>
        <v/>
      </c>
      <c r="HG40" s="13"/>
      <c r="HH40" s="24" t="str">
        <f t="shared" si="3"/>
        <v/>
      </c>
      <c r="HI40" s="66" t="str">
        <f t="shared" si="4"/>
        <v/>
      </c>
      <c r="HJ40" s="82" t="str">
        <f t="shared" si="5"/>
        <v/>
      </c>
      <c r="HK40" s="66" t="str">
        <f t="shared" si="6"/>
        <v/>
      </c>
      <c r="HL40" s="66" t="str">
        <f t="shared" si="7"/>
        <v/>
      </c>
      <c r="HM40" s="66" t="str">
        <f t="shared" si="8"/>
        <v/>
      </c>
      <c r="HN40" s="24" t="str">
        <f t="shared" si="170"/>
        <v/>
      </c>
      <c r="HO40" s="14" t="str">
        <f t="shared" si="9"/>
        <v/>
      </c>
      <c r="HP40" s="24" t="str">
        <f t="shared" si="10"/>
        <v/>
      </c>
      <c r="HQ40" s="24" t="str">
        <f t="shared" si="11"/>
        <v/>
      </c>
      <c r="HR40" s="13" t="str">
        <f t="shared" si="171"/>
        <v/>
      </c>
      <c r="HT40" s="13" t="str">
        <f t="shared" si="12"/>
        <v/>
      </c>
      <c r="HU40" s="75" t="str">
        <f t="shared" si="13"/>
        <v/>
      </c>
      <c r="HV40" s="75" t="str">
        <f t="shared" si="42"/>
        <v/>
      </c>
      <c r="HW40" s="75" t="str">
        <f t="shared" si="14"/>
        <v/>
      </c>
      <c r="HX40" s="75" t="str">
        <f t="shared" si="15"/>
        <v/>
      </c>
      <c r="HY40" s="66" t="str">
        <f t="shared" si="16"/>
        <v/>
      </c>
      <c r="HZ40" s="151" t="str">
        <f t="shared" si="17"/>
        <v/>
      </c>
      <c r="IA40" s="151" t="str">
        <f t="shared" si="18"/>
        <v/>
      </c>
      <c r="IB40" s="151"/>
      <c r="IC40" s="149" t="str">
        <f t="shared" si="19"/>
        <v/>
      </c>
      <c r="ID40" s="151" t="str">
        <f t="shared" si="20"/>
        <v/>
      </c>
      <c r="IE40" s="33" t="str">
        <f t="shared" si="21"/>
        <v/>
      </c>
      <c r="IF40" s="33" t="str">
        <f t="shared" si="22"/>
        <v/>
      </c>
      <c r="IG40" s="33" t="str">
        <f t="shared" si="23"/>
        <v/>
      </c>
      <c r="IH40" s="33" t="str">
        <f t="shared" si="24"/>
        <v/>
      </c>
      <c r="II40" s="33" t="str">
        <f t="shared" si="25"/>
        <v/>
      </c>
      <c r="IM40" s="13"/>
      <c r="IN40" s="13"/>
      <c r="IO40" s="13"/>
      <c r="IP40" s="13"/>
      <c r="IQ40" s="13"/>
    </row>
    <row r="41" spans="1:251" x14ac:dyDescent="0.2">
      <c r="A41" s="9"/>
      <c r="B41" s="423"/>
      <c r="C41" s="154" t="str">
        <f t="shared" si="180"/>
        <v>14    Gear  Overhaul</v>
      </c>
      <c r="D41" s="154"/>
      <c r="E41" s="424"/>
      <c r="F41" s="424"/>
      <c r="G41" s="425">
        <f t="shared" si="172"/>
        <v>120</v>
      </c>
      <c r="H41" s="425"/>
      <c r="I41" s="426">
        <f t="shared" si="173"/>
        <v>44927</v>
      </c>
      <c r="J41" s="425">
        <f t="shared" si="174"/>
        <v>35000</v>
      </c>
      <c r="K41" s="425">
        <f t="shared" si="175"/>
        <v>17500</v>
      </c>
      <c r="L41" s="425"/>
      <c r="M41" s="425">
        <f>IF(AND(NOT(C40=""),C41=""),SUM($M$28:M40),IF(C41="","",IF(HZ17="Engine",SUM(IE17:IF17),IE17)))</f>
        <v>448050</v>
      </c>
      <c r="N41" s="154"/>
      <c r="O41" s="156" t="str">
        <f t="shared" si="176"/>
        <v/>
      </c>
      <c r="Q41" s="427" t="str">
        <f>IF(AND(NOT(C40=""),C41=""),SUM($Q$28:Q40),IF(C41="","",IF(HZ17="Engine",IE17,"")))</f>
        <v/>
      </c>
      <c r="R41" s="154"/>
      <c r="S41" s="427" t="str">
        <f>IF(AND(NOT(C40=""),C41=""),SUM($S$28:S40),IF(C41="","",IF(HZ17="Engine",IF17,"")))</f>
        <v/>
      </c>
      <c r="U41" s="425" t="str">
        <f t="shared" si="177"/>
        <v/>
      </c>
      <c r="V41" s="425"/>
      <c r="W41" s="425" t="str">
        <f t="shared" si="178"/>
        <v/>
      </c>
      <c r="X41" s="428" t="str">
        <f>IF(AND(NOT(C40=""),C41=""),SUM($X$28:X40),IF(C41="","",IF(HZ17="Engine",-IG17,"")))</f>
        <v/>
      </c>
      <c r="Y41" s="429" t="str">
        <f t="shared" si="179"/>
        <v/>
      </c>
      <c r="Z41" s="26"/>
      <c r="AC41" s="136">
        <v>4.5</v>
      </c>
      <c r="AD41" s="137">
        <f>IF($FY$7="True",SOURCE!BL14,SOURCE!BP14)</f>
        <v>0.85</v>
      </c>
      <c r="AE41" s="137">
        <f>IF($FY$7="True",SOURCE!BM14,SOURCE!BQ14)</f>
        <v>1.08</v>
      </c>
      <c r="AF41" s="137">
        <f>IF($FY$7="True",SOURCE!BN14,SOURCE!BR14)</f>
        <v>0.85</v>
      </c>
      <c r="AG41" s="137">
        <f>IF($FY$7="True",SOURCE!BO14,SOURCE!BS14)</f>
        <v>1.07</v>
      </c>
      <c r="AH41" s="138">
        <f t="shared" si="156"/>
        <v>2538000</v>
      </c>
      <c r="AI41" s="136">
        <f t="shared" si="157"/>
        <v>79.899999999999991</v>
      </c>
      <c r="AJ41" s="138">
        <f t="shared" si="91"/>
        <v>7058.8235294117658</v>
      </c>
      <c r="AK41" s="138">
        <f t="shared" si="92"/>
        <v>31764.705882352944</v>
      </c>
      <c r="AL41" s="138">
        <f t="shared" si="185"/>
        <v>2640225</v>
      </c>
      <c r="AM41" s="355">
        <f t="shared" si="186"/>
        <v>131.0859375</v>
      </c>
      <c r="AN41" s="138">
        <f t="shared" si="187"/>
        <v>4475.8169934640518</v>
      </c>
      <c r="AO41" s="138">
        <f t="shared" si="188"/>
        <v>20141.176470588234</v>
      </c>
      <c r="AP41" s="138"/>
      <c r="AQ41" s="136">
        <f t="shared" si="189"/>
        <v>4.5</v>
      </c>
      <c r="AR41" s="138">
        <f t="shared" si="158"/>
        <v>2640225</v>
      </c>
      <c r="AS41" s="136">
        <f t="shared" si="190"/>
        <v>131.0859375</v>
      </c>
      <c r="AT41" s="138">
        <f t="shared" si="191"/>
        <v>4475.8169934640518</v>
      </c>
      <c r="AU41" s="138">
        <f t="shared" si="192"/>
        <v>20141.176470588234</v>
      </c>
      <c r="AV41" s="33">
        <f t="shared" si="49"/>
        <v>2640225</v>
      </c>
      <c r="AW41" s="136">
        <f t="shared" si="162"/>
        <v>131.0859375</v>
      </c>
      <c r="AX41" s="138">
        <f t="shared" si="193"/>
        <v>4475.8169934640518</v>
      </c>
      <c r="AY41" s="138">
        <f t="shared" si="194"/>
        <v>20141.176470588234</v>
      </c>
      <c r="AZ41" s="50"/>
      <c r="BA41" s="50"/>
      <c r="BB41" s="50"/>
      <c r="BC41" s="23"/>
      <c r="BD41" s="27"/>
      <c r="BE41" s="23"/>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M41" s="44">
        <f t="shared" si="232"/>
        <v>35</v>
      </c>
      <c r="DN41" s="41">
        <f t="shared" si="206"/>
        <v>12307520</v>
      </c>
      <c r="DO41" s="41">
        <f t="shared" si="233"/>
        <v>124541.17521367522</v>
      </c>
      <c r="DP41" s="42">
        <f t="shared" si="207"/>
        <v>0</v>
      </c>
      <c r="DQ41" s="42">
        <f t="shared" si="208"/>
        <v>0</v>
      </c>
      <c r="DR41" s="42">
        <f t="shared" si="209"/>
        <v>0</v>
      </c>
      <c r="DS41" s="42">
        <f t="shared" si="210"/>
        <v>0</v>
      </c>
      <c r="DT41" s="42">
        <f t="shared" si="211"/>
        <v>0</v>
      </c>
      <c r="DU41" s="42">
        <f t="shared" si="212"/>
        <v>0</v>
      </c>
      <c r="DV41" s="42">
        <f t="shared" si="213"/>
        <v>0</v>
      </c>
      <c r="DW41" s="42">
        <f t="shared" si="214"/>
        <v>0</v>
      </c>
      <c r="DX41" s="42">
        <f t="shared" si="215"/>
        <v>4138541.1324786292</v>
      </c>
      <c r="DY41" s="42">
        <f>IF(DM41="",DY40,DN41-SUM($DO$6:DO41)+SUM($DP$6:DV41)-SUM($DW$6:DW41))</f>
        <v>8168978.8675213708</v>
      </c>
      <c r="DZ41" s="43">
        <f t="shared" si="234"/>
        <v>0.66373882532966599</v>
      </c>
      <c r="EA41" s="43"/>
      <c r="EB41" s="43" t="str">
        <f t="shared" si="146"/>
        <v>False</v>
      </c>
      <c r="EC41" s="41">
        <f t="shared" si="132"/>
        <v>220400</v>
      </c>
      <c r="ED41" s="41">
        <f t="shared" si="133"/>
        <v>606690</v>
      </c>
      <c r="EE41" s="41">
        <f t="shared" si="216"/>
        <v>902280</v>
      </c>
      <c r="EF41" s="41">
        <f t="shared" si="235"/>
        <v>12244.444444444445</v>
      </c>
      <c r="EG41" s="42">
        <f t="shared" si="236"/>
        <v>8426.25</v>
      </c>
      <c r="EH41" s="42">
        <f t="shared" si="237"/>
        <v>6265.8333333333321</v>
      </c>
      <c r="EI41" s="42">
        <f>IF(DM41="","",ROUND(EC41-EL41,0))</f>
        <v>208156</v>
      </c>
      <c r="EJ41" s="42">
        <f>IF(DM41="","",ROUND(ED41-EM41,0))</f>
        <v>294919</v>
      </c>
      <c r="EK41" s="42">
        <f t="shared" si="219"/>
        <v>219304</v>
      </c>
      <c r="EL41" s="42">
        <f>IF(DM41="","",EC41-SUM($EF$6:EF41)+SUM($DP$6:DP41))</f>
        <v>12244.444444444554</v>
      </c>
      <c r="EM41" s="42">
        <f>IF(DM41="","",ED41-SUM($EG$6:EG41)+SUM($DQ$6:DQ41))</f>
        <v>311771.25</v>
      </c>
      <c r="EN41" s="42">
        <f>IF(DM41="","",EE41-SUM($EH$6:EH41)+SUM($DR$6:DR41))</f>
        <v>682975.83333333326</v>
      </c>
      <c r="EO41" s="152">
        <f t="shared" si="220"/>
        <v>0.58228807471956712</v>
      </c>
      <c r="EP41" s="43"/>
      <c r="EQ41" s="42">
        <f t="shared" si="221"/>
        <v>448050</v>
      </c>
      <c r="ER41" s="42">
        <f t="shared" si="222"/>
        <v>248100</v>
      </c>
      <c r="ES41" s="42">
        <f t="shared" si="238"/>
        <v>3733.75</v>
      </c>
      <c r="ET41" s="42">
        <f t="shared" si="239"/>
        <v>6122.9807692307695</v>
      </c>
      <c r="EU41" s="42">
        <f t="shared" si="223"/>
        <v>130681</v>
      </c>
      <c r="EV41" s="42">
        <f t="shared" si="224"/>
        <v>214304</v>
      </c>
      <c r="EW41" s="42">
        <f>IF(DM41="","",IF(DS41&gt;0,DS41,EQ41-SUM($ES$6:ES41)+SUM($DS$6:DS41)))</f>
        <v>317368.75</v>
      </c>
      <c r="EX41" s="42">
        <f>IF(DM41="","",IF(DT41&gt;0,DT41,ER41-SUM($ET$6:ET41)+SUM($DT$6:DT41)))</f>
        <v>33795.673076922976</v>
      </c>
      <c r="EY41" s="43">
        <f t="shared" si="225"/>
        <v>0.13621794871794832</v>
      </c>
      <c r="EZ41" s="43">
        <f t="shared" si="226"/>
        <v>0.70833333333333337</v>
      </c>
      <c r="FA41" s="43"/>
      <c r="FB41" s="42">
        <f t="shared" si="227"/>
        <v>4700000</v>
      </c>
      <c r="FC41" s="42">
        <f t="shared" si="228"/>
        <v>5182000</v>
      </c>
      <c r="FD41" s="41">
        <f t="shared" si="240"/>
        <v>54833.333333333336</v>
      </c>
      <c r="FE41" s="41">
        <f t="shared" si="241"/>
        <v>32914.583333333336</v>
      </c>
      <c r="FF41" s="42">
        <f t="shared" si="229"/>
        <v>1919167</v>
      </c>
      <c r="FG41" s="42">
        <f t="shared" si="230"/>
        <v>1152010</v>
      </c>
      <c r="FH41" s="42">
        <f>IF(DM41="","",IF(DU41&gt;0,DU41,FB41-SUM($FD$6:FD41)+SUM($DU$6:DU41)))</f>
        <v>2780833.333333334</v>
      </c>
      <c r="FI41" s="42">
        <f>IF(DM41="","",FC41-SUM($FE$6:FE41)+SUM($DV$6:DV41)-SUM($DW$6:DW41))</f>
        <v>4029989.583333333</v>
      </c>
      <c r="FJ41" s="152">
        <f t="shared" si="231"/>
        <v>0.68921502900897258</v>
      </c>
      <c r="FO41" s="8"/>
      <c r="FP41" s="8"/>
      <c r="FQ41" s="8"/>
      <c r="FR41" s="27">
        <v>4.5</v>
      </c>
      <c r="FS41" s="8"/>
      <c r="FT41" s="8"/>
      <c r="FU41" s="8"/>
      <c r="GC41" s="68">
        <f t="shared" si="195"/>
        <v>36</v>
      </c>
      <c r="GD41" s="78">
        <f t="shared" si="196"/>
        <v>220400</v>
      </c>
      <c r="GE41" s="309">
        <f t="shared" si="197"/>
        <v>0.67152746388449469</v>
      </c>
      <c r="GF41" s="78">
        <f t="shared" si="198"/>
        <v>220400</v>
      </c>
      <c r="GG41" s="310">
        <f t="shared" si="199"/>
        <v>0.69415740992384511</v>
      </c>
      <c r="GH41" s="78">
        <f t="shared" si="200"/>
        <v>0</v>
      </c>
      <c r="GI41" s="310">
        <f t="shared" si="201"/>
        <v>0.7</v>
      </c>
      <c r="GJ41" s="311">
        <f t="shared" si="202"/>
        <v>0</v>
      </c>
      <c r="GK41" s="310">
        <f t="shared" si="203"/>
        <v>0.11153846153846109</v>
      </c>
      <c r="GL41" s="311">
        <f t="shared" si="204"/>
        <v>0</v>
      </c>
      <c r="GM41" s="310">
        <f t="shared" si="205"/>
        <v>0.68033545840922904</v>
      </c>
      <c r="GO41" s="266" t="s">
        <v>4</v>
      </c>
      <c r="GP41" s="266" t="s">
        <v>276</v>
      </c>
      <c r="GQ41" s="14" t="str">
        <f>IF(GS41="","",COUNT($GS$4:GS41))</f>
        <v/>
      </c>
      <c r="GR41" s="24" t="str">
        <f t="shared" si="166"/>
        <v/>
      </c>
      <c r="GS41" s="134" t="str">
        <f t="shared" si="181"/>
        <v/>
      </c>
      <c r="GT41" s="66" t="str">
        <f>IF(GS41="","",CQ32)</f>
        <v/>
      </c>
      <c r="GU41" s="66" t="str">
        <f>IF(GS41="","",2*CP32)</f>
        <v/>
      </c>
      <c r="GV41" s="265" t="str">
        <f>IF($GS41="","",2*CP31)</f>
        <v/>
      </c>
      <c r="GW41" s="265" t="str">
        <f>IF($GS41="","",2*CQ31)</f>
        <v/>
      </c>
      <c r="GX41" s="265" t="str">
        <f t="shared" si="182"/>
        <v/>
      </c>
      <c r="GY41" s="66" t="str">
        <f t="shared" si="183"/>
        <v/>
      </c>
      <c r="GZ41" s="134" t="str">
        <f t="shared" si="184"/>
        <v/>
      </c>
      <c r="HA41" s="14" t="str">
        <f>IF(HC41="","",_xlfn.RANK.EQ(HC41,$HC$4:$HC$44,1)+COUNTIF($HC$4:$HC$44,HC41)-COUNTIF($HC$4:HC41,HC41))</f>
        <v/>
      </c>
      <c r="HB41" s="24" t="str">
        <f t="shared" si="39"/>
        <v/>
      </c>
      <c r="HC41" s="14" t="str">
        <f t="shared" si="0"/>
        <v/>
      </c>
      <c r="HD41" s="24" t="str">
        <f t="shared" si="40"/>
        <v/>
      </c>
      <c r="HE41" s="13" t="str">
        <f t="shared" si="1"/>
        <v/>
      </c>
      <c r="HF41" s="13" t="str">
        <f t="shared" si="169"/>
        <v/>
      </c>
      <c r="HG41" s="13"/>
      <c r="HH41" s="24" t="str">
        <f t="shared" si="3"/>
        <v/>
      </c>
      <c r="HI41" s="66" t="str">
        <f t="shared" si="4"/>
        <v/>
      </c>
      <c r="HJ41" s="82" t="str">
        <f t="shared" si="5"/>
        <v/>
      </c>
      <c r="HK41" s="66" t="str">
        <f t="shared" si="6"/>
        <v/>
      </c>
      <c r="HL41" s="66" t="str">
        <f t="shared" si="7"/>
        <v/>
      </c>
      <c r="HM41" s="66" t="str">
        <f t="shared" si="8"/>
        <v/>
      </c>
      <c r="HN41" s="24" t="str">
        <f t="shared" si="170"/>
        <v/>
      </c>
      <c r="HO41" s="14" t="str">
        <f t="shared" si="9"/>
        <v/>
      </c>
      <c r="HP41" s="24" t="str">
        <f t="shared" si="10"/>
        <v/>
      </c>
      <c r="HQ41" s="24" t="str">
        <f t="shared" si="11"/>
        <v/>
      </c>
      <c r="HR41" s="13" t="str">
        <f t="shared" si="171"/>
        <v/>
      </c>
      <c r="HT41" s="13" t="str">
        <f t="shared" si="12"/>
        <v/>
      </c>
      <c r="HU41" s="75" t="str">
        <f t="shared" si="13"/>
        <v/>
      </c>
      <c r="HV41" s="75" t="str">
        <f t="shared" si="42"/>
        <v/>
      </c>
      <c r="HW41" s="75" t="str">
        <f t="shared" si="14"/>
        <v/>
      </c>
      <c r="HX41" s="75" t="str">
        <f t="shared" si="15"/>
        <v/>
      </c>
      <c r="HY41" s="66" t="str">
        <f t="shared" si="16"/>
        <v/>
      </c>
      <c r="HZ41" s="151" t="str">
        <f t="shared" si="17"/>
        <v/>
      </c>
      <c r="IA41" s="151" t="str">
        <f t="shared" si="18"/>
        <v/>
      </c>
      <c r="IB41" s="151"/>
      <c r="IC41" s="149" t="str">
        <f t="shared" si="19"/>
        <v/>
      </c>
      <c r="ID41" s="151" t="str">
        <f t="shared" si="20"/>
        <v/>
      </c>
      <c r="IE41" s="33" t="str">
        <f t="shared" si="21"/>
        <v/>
      </c>
      <c r="IF41" s="33" t="str">
        <f t="shared" si="22"/>
        <v/>
      </c>
      <c r="IG41" s="33" t="str">
        <f t="shared" si="23"/>
        <v/>
      </c>
      <c r="IH41" s="33" t="str">
        <f t="shared" si="24"/>
        <v/>
      </c>
      <c r="II41" s="33" t="str">
        <f t="shared" si="25"/>
        <v/>
      </c>
      <c r="IM41" s="13"/>
      <c r="IN41" s="13"/>
      <c r="IO41" s="13"/>
      <c r="IP41" s="13"/>
      <c r="IQ41" s="13"/>
    </row>
    <row r="42" spans="1:251" x14ac:dyDescent="0.2">
      <c r="A42" s="9"/>
      <c r="B42" s="423"/>
      <c r="C42" s="154" t="str">
        <f t="shared" si="180"/>
        <v>15    APU  SV</v>
      </c>
      <c r="D42" s="154"/>
      <c r="E42" s="424"/>
      <c r="F42" s="424"/>
      <c r="G42" s="425">
        <f t="shared" si="172"/>
        <v>41</v>
      </c>
      <c r="H42" s="425"/>
      <c r="I42" s="426">
        <f t="shared" si="173"/>
        <v>42522</v>
      </c>
      <c r="J42" s="425">
        <f t="shared" si="174"/>
        <v>11958.333333333334</v>
      </c>
      <c r="K42" s="425">
        <f t="shared" si="175"/>
        <v>5979.166666666667</v>
      </c>
      <c r="L42" s="425"/>
      <c r="M42" s="425">
        <f>IF(AND(NOT(C41=""),C42=""),SUM($M$28:M41),IF(C42="","",IF(HZ18="Engine",SUM(IE18:IF18),IE18)))</f>
        <v>248100</v>
      </c>
      <c r="N42" s="154"/>
      <c r="O42" s="156" t="str">
        <f t="shared" si="176"/>
        <v/>
      </c>
      <c r="Q42" s="427" t="str">
        <f>IF(AND(NOT(C41=""),C42=""),SUM($Q$28:Q41),IF(C42="","",IF(HZ18="Engine",IE18,"")))</f>
        <v/>
      </c>
      <c r="R42" s="154"/>
      <c r="S42" s="427" t="str">
        <f>IF(AND(NOT(C41=""),C42=""),SUM($S$28:S41),IF(C42="","",IF(HZ18="Engine",IF18,"")))</f>
        <v/>
      </c>
      <c r="U42" s="425" t="str">
        <f t="shared" si="177"/>
        <v/>
      </c>
      <c r="V42" s="425"/>
      <c r="W42" s="425" t="str">
        <f t="shared" si="178"/>
        <v/>
      </c>
      <c r="X42" s="428" t="str">
        <f>IF(AND(NOT(C41=""),C42=""),SUM($X$28:X41),IF(C42="","",IF(HZ18="Engine",-IG18,"")))</f>
        <v/>
      </c>
      <c r="Y42" s="429" t="str">
        <f t="shared" si="179"/>
        <v/>
      </c>
      <c r="Z42" s="26"/>
      <c r="AC42" s="20">
        <v>4.5999999999999996</v>
      </c>
      <c r="AD42" s="18">
        <f>AD41-($AD$41-$AD$46)/5</f>
        <v>0.84799999999999998</v>
      </c>
      <c r="AE42" s="18">
        <f>AE41-($AE$41-$AE$46)/5</f>
        <v>1.081</v>
      </c>
      <c r="AF42" s="18">
        <f>AF41-($AF$41-$AF$46)/5</f>
        <v>0.84799999999999998</v>
      </c>
      <c r="AG42" s="18">
        <f>AG41-($AG$41-$AG$46)/5</f>
        <v>1.0720000000000001</v>
      </c>
      <c r="AH42" s="50">
        <f t="shared" si="156"/>
        <v>2540350</v>
      </c>
      <c r="AI42" s="51">
        <f t="shared" si="157"/>
        <v>79.712000000000003</v>
      </c>
      <c r="AJ42" s="50">
        <f t="shared" si="91"/>
        <v>6928.0660377358499</v>
      </c>
      <c r="AK42" s="50">
        <f t="shared" si="92"/>
        <v>31869.103773584906</v>
      </c>
      <c r="AL42" s="348">
        <f t="shared" si="185"/>
        <v>2645160</v>
      </c>
      <c r="AM42" s="354">
        <f t="shared" si="186"/>
        <v>130.7775</v>
      </c>
      <c r="AN42" s="348">
        <f t="shared" si="187"/>
        <v>4397.046759639049</v>
      </c>
      <c r="AO42" s="348">
        <f t="shared" si="188"/>
        <v>20226.415094339623</v>
      </c>
      <c r="AP42" s="138"/>
      <c r="AQ42" s="349">
        <f t="shared" si="189"/>
        <v>4.5999999999999996</v>
      </c>
      <c r="AR42" s="50">
        <f t="shared" si="158"/>
        <v>2645160</v>
      </c>
      <c r="AS42" s="51">
        <f t="shared" si="190"/>
        <v>130.7775</v>
      </c>
      <c r="AT42" s="348">
        <f t="shared" si="191"/>
        <v>4397.046759639049</v>
      </c>
      <c r="AU42" s="348">
        <f t="shared" si="192"/>
        <v>20226.415094339623</v>
      </c>
      <c r="AV42" s="350">
        <f t="shared" si="49"/>
        <v>2645160</v>
      </c>
      <c r="AW42" s="349">
        <f t="shared" si="162"/>
        <v>130.7775</v>
      </c>
      <c r="AX42" s="348">
        <f t="shared" si="193"/>
        <v>4397.046759639049</v>
      </c>
      <c r="AY42" s="348">
        <f t="shared" si="194"/>
        <v>20226.415094339623</v>
      </c>
      <c r="AZ42" s="50"/>
      <c r="BA42" s="50"/>
      <c r="BB42" s="50"/>
      <c r="BC42" s="23"/>
      <c r="BD42" s="27"/>
      <c r="BE42" s="23"/>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M42" s="44">
        <f t="shared" si="232"/>
        <v>36</v>
      </c>
      <c r="DN42" s="41">
        <f t="shared" si="206"/>
        <v>12307520</v>
      </c>
      <c r="DO42" s="41">
        <f t="shared" si="233"/>
        <v>124541.17521367522</v>
      </c>
      <c r="DP42" s="42">
        <f t="shared" si="207"/>
        <v>220400</v>
      </c>
      <c r="DQ42" s="42">
        <f t="shared" si="208"/>
        <v>0</v>
      </c>
      <c r="DR42" s="42">
        <f t="shared" si="209"/>
        <v>0</v>
      </c>
      <c r="DS42" s="42">
        <f t="shared" si="210"/>
        <v>0</v>
      </c>
      <c r="DT42" s="42">
        <f t="shared" si="211"/>
        <v>0</v>
      </c>
      <c r="DU42" s="42">
        <f t="shared" si="212"/>
        <v>0</v>
      </c>
      <c r="DV42" s="42">
        <f t="shared" si="213"/>
        <v>0</v>
      </c>
      <c r="DW42" s="42">
        <f t="shared" si="214"/>
        <v>0</v>
      </c>
      <c r="DX42" s="42">
        <f t="shared" si="215"/>
        <v>4042682.3076923043</v>
      </c>
      <c r="DY42" s="42">
        <f>IF(DM42="",DY41,DN42-SUM($DO$6:DO42)+SUM($DP$6:DV42)-SUM($DW$6:DW42))</f>
        <v>8264837.6923076957</v>
      </c>
      <c r="DZ42" s="43">
        <f t="shared" si="234"/>
        <v>0.67152746388449469</v>
      </c>
      <c r="EA42" s="43"/>
      <c r="EB42" s="43" t="str">
        <f t="shared" si="146"/>
        <v>False</v>
      </c>
      <c r="EC42" s="41">
        <f t="shared" si="132"/>
        <v>220400</v>
      </c>
      <c r="ED42" s="41">
        <f t="shared" si="133"/>
        <v>606690</v>
      </c>
      <c r="EE42" s="41">
        <f t="shared" si="216"/>
        <v>902280</v>
      </c>
      <c r="EF42" s="41">
        <f t="shared" si="235"/>
        <v>12244.444444444445</v>
      </c>
      <c r="EG42" s="42">
        <f t="shared" si="236"/>
        <v>8426.25</v>
      </c>
      <c r="EH42" s="42">
        <f t="shared" si="237"/>
        <v>6265.8333333333321</v>
      </c>
      <c r="EI42" s="42">
        <f>IF(DM42="","",ROUND(EC42-EL42,0))</f>
        <v>0</v>
      </c>
      <c r="EJ42" s="42">
        <f t="shared" si="218"/>
        <v>303345</v>
      </c>
      <c r="EK42" s="42">
        <f t="shared" si="219"/>
        <v>225570</v>
      </c>
      <c r="EL42" s="42">
        <f>IF(DM42="","",EC42-SUM($EF$6:EF42)+SUM($DP$6:DP42))</f>
        <v>220400.00000000012</v>
      </c>
      <c r="EM42" s="42">
        <f>IF(DM42="","",ED42-SUM($EG$6:EG42)+SUM($DQ$6:DQ42))</f>
        <v>303345</v>
      </c>
      <c r="EN42" s="42">
        <f>IF(DM42="","",EE42-SUM($EH$6:EH42)+SUM($DR$6:DR42))</f>
        <v>676709.99999999988</v>
      </c>
      <c r="EO42" s="152">
        <f t="shared" si="220"/>
        <v>0.69415740992384511</v>
      </c>
      <c r="EP42" s="43"/>
      <c r="EQ42" s="42">
        <f t="shared" si="221"/>
        <v>448050</v>
      </c>
      <c r="ER42" s="42">
        <f t="shared" si="222"/>
        <v>248100</v>
      </c>
      <c r="ES42" s="42">
        <f t="shared" si="238"/>
        <v>3733.75</v>
      </c>
      <c r="ET42" s="42">
        <f t="shared" si="239"/>
        <v>6122.9807692307695</v>
      </c>
      <c r="EU42" s="42">
        <f t="shared" si="223"/>
        <v>134415</v>
      </c>
      <c r="EV42" s="42">
        <f t="shared" si="224"/>
        <v>220427</v>
      </c>
      <c r="EW42" s="42">
        <f>IF(DM42="","",IF(DS42&gt;0,DS42,EQ42-SUM($ES$6:ES42)+SUM($DS$6:DS42)))</f>
        <v>313635</v>
      </c>
      <c r="EX42" s="42">
        <f>IF(DM42="","",IF(DT42&gt;0,DT42,ER42-SUM($ET$6:ET42)+SUM($DT$6:DT42)))</f>
        <v>27672.692307692196</v>
      </c>
      <c r="EY42" s="43">
        <f t="shared" si="225"/>
        <v>0.11153846153846109</v>
      </c>
      <c r="EZ42" s="43">
        <f t="shared" si="226"/>
        <v>0.7</v>
      </c>
      <c r="FA42" s="43"/>
      <c r="FB42" s="42">
        <f t="shared" si="227"/>
        <v>4700000</v>
      </c>
      <c r="FC42" s="42">
        <f t="shared" si="228"/>
        <v>5182000</v>
      </c>
      <c r="FD42" s="41">
        <f t="shared" si="240"/>
        <v>54833.333333333336</v>
      </c>
      <c r="FE42" s="41">
        <f t="shared" si="241"/>
        <v>32914.583333333336</v>
      </c>
      <c r="FF42" s="42">
        <f t="shared" si="229"/>
        <v>1974000</v>
      </c>
      <c r="FG42" s="42">
        <f t="shared" si="230"/>
        <v>1184925</v>
      </c>
      <c r="FH42" s="42">
        <f>IF(DM42="","",IF(DU42&gt;0,DU42,FB42-SUM($FD$6:FD42)+SUM($DU$6:DU42)))</f>
        <v>2726000.0000000009</v>
      </c>
      <c r="FI42" s="42">
        <f>IF(DM42="","",FC42-SUM($FE$6:FE42)+SUM($DV$6:DV42)-SUM($DW$6:DW42))</f>
        <v>3997075</v>
      </c>
      <c r="FJ42" s="152">
        <f t="shared" si="231"/>
        <v>0.68033545840922904</v>
      </c>
      <c r="FO42" s="8"/>
      <c r="FP42" s="8"/>
      <c r="FQ42" s="8"/>
      <c r="FR42" s="27">
        <v>4.5999999999999996</v>
      </c>
      <c r="FS42" s="8"/>
      <c r="FT42" s="8"/>
      <c r="FU42" s="8"/>
      <c r="GC42" s="68">
        <f t="shared" si="195"/>
        <v>37</v>
      </c>
      <c r="GD42" s="78">
        <f t="shared" si="196"/>
        <v>0</v>
      </c>
      <c r="GE42" s="309">
        <f t="shared" si="197"/>
        <v>0.66060116109311406</v>
      </c>
      <c r="GF42" s="78">
        <f t="shared" si="198"/>
        <v>0</v>
      </c>
      <c r="GG42" s="310">
        <f t="shared" si="199"/>
        <v>0.67308965377495267</v>
      </c>
      <c r="GH42" s="78">
        <f t="shared" si="200"/>
        <v>0</v>
      </c>
      <c r="GI42" s="310">
        <f t="shared" si="201"/>
        <v>0.69166666666666665</v>
      </c>
      <c r="GJ42" s="311">
        <f t="shared" si="202"/>
        <v>0</v>
      </c>
      <c r="GK42" s="310">
        <f t="shared" si="203"/>
        <v>8.6858974358973856E-2</v>
      </c>
      <c r="GL42" s="311">
        <f t="shared" si="204"/>
        <v>0</v>
      </c>
      <c r="GM42" s="310">
        <f t="shared" si="205"/>
        <v>0.67145588780948529</v>
      </c>
      <c r="GO42" s="266" t="s">
        <v>4</v>
      </c>
      <c r="GP42" s="266" t="s">
        <v>276</v>
      </c>
      <c r="GQ42" s="14" t="str">
        <f>IF(GS42="","",COUNT($GS$4:GS42))</f>
        <v/>
      </c>
      <c r="GR42" s="24" t="str">
        <f t="shared" si="166"/>
        <v/>
      </c>
      <c r="GS42" s="134" t="str">
        <f t="shared" si="181"/>
        <v/>
      </c>
      <c r="GT42" s="66" t="str">
        <f>IF(GS42="","",CT32)</f>
        <v/>
      </c>
      <c r="GU42" s="66" t="str">
        <f>IF(GS42="","",2*CS32)</f>
        <v/>
      </c>
      <c r="GV42" s="265" t="str">
        <f>IF($GS42="","",2*CS31)</f>
        <v/>
      </c>
      <c r="GW42" s="265" t="str">
        <f>IF($GS42="","",2*CT31)</f>
        <v/>
      </c>
      <c r="GX42" s="265" t="str">
        <f t="shared" si="182"/>
        <v/>
      </c>
      <c r="GY42" s="66" t="str">
        <f t="shared" si="183"/>
        <v/>
      </c>
      <c r="GZ42" s="134" t="str">
        <f t="shared" si="184"/>
        <v/>
      </c>
      <c r="HA42" s="14" t="str">
        <f>IF(HC42="","",_xlfn.RANK.EQ(HC42,$HC$4:$HC$44,1)+COUNTIF($HC$4:$HC$44,HC42)-COUNTIF($HC$4:HC42,HC42))</f>
        <v/>
      </c>
      <c r="HB42" s="24" t="str">
        <f t="shared" si="39"/>
        <v/>
      </c>
      <c r="HC42" s="14" t="str">
        <f t="shared" si="0"/>
        <v/>
      </c>
      <c r="HD42" s="24" t="str">
        <f t="shared" si="40"/>
        <v/>
      </c>
      <c r="HE42" s="13" t="str">
        <f t="shared" si="1"/>
        <v/>
      </c>
      <c r="HF42" s="13" t="str">
        <f t="shared" si="169"/>
        <v/>
      </c>
      <c r="HG42" s="13"/>
      <c r="HH42" s="24" t="str">
        <f t="shared" si="3"/>
        <v/>
      </c>
      <c r="HI42" s="66" t="str">
        <f t="shared" si="4"/>
        <v/>
      </c>
      <c r="HJ42" s="82" t="str">
        <f t="shared" si="5"/>
        <v/>
      </c>
      <c r="HK42" s="66" t="str">
        <f t="shared" si="6"/>
        <v/>
      </c>
      <c r="HL42" s="66" t="str">
        <f t="shared" si="7"/>
        <v/>
      </c>
      <c r="HM42" s="66" t="str">
        <f t="shared" si="8"/>
        <v/>
      </c>
      <c r="HN42" s="14"/>
      <c r="HO42" s="13"/>
      <c r="HP42" s="13"/>
      <c r="HQ42" s="13"/>
      <c r="HR42" s="13"/>
      <c r="HS42" s="75"/>
      <c r="HT42" s="75"/>
      <c r="HU42" s="75"/>
      <c r="HV42" s="75"/>
      <c r="HW42" s="75"/>
      <c r="HX42" s="66"/>
      <c r="HY42" s="75"/>
      <c r="IA42" s="13"/>
      <c r="IB42" s="13"/>
      <c r="IC42" s="13"/>
      <c r="ID42" s="13"/>
      <c r="IE42" s="13"/>
      <c r="IF42" s="13"/>
      <c r="IG42" s="13"/>
      <c r="IH42" s="13"/>
      <c r="II42" s="13"/>
      <c r="IM42" s="13"/>
      <c r="IN42" s="13"/>
      <c r="IO42" s="13"/>
      <c r="IP42" s="13"/>
      <c r="IQ42" s="13"/>
    </row>
    <row r="43" spans="1:251" x14ac:dyDescent="0.2">
      <c r="A43" s="9"/>
      <c r="B43" s="423"/>
      <c r="C43" s="154" t="str">
        <f t="shared" si="180"/>
        <v>16    APU  SV</v>
      </c>
      <c r="D43" s="154"/>
      <c r="E43" s="424"/>
      <c r="F43" s="424"/>
      <c r="G43" s="425">
        <f t="shared" si="172"/>
        <v>82</v>
      </c>
      <c r="H43" s="425"/>
      <c r="I43" s="426">
        <f t="shared" si="173"/>
        <v>43770</v>
      </c>
      <c r="J43" s="425">
        <f t="shared" si="174"/>
        <v>23916.666666666668</v>
      </c>
      <c r="K43" s="425">
        <f t="shared" si="175"/>
        <v>11958.333333333334</v>
      </c>
      <c r="L43" s="425"/>
      <c r="M43" s="425">
        <f>IF(AND(NOT(C42=""),C43=""),SUM($M$28:M42),IF(C43="","",IF(HZ19="Engine",SUM(IE19:IF19),IE19)))</f>
        <v>248100</v>
      </c>
      <c r="N43" s="154"/>
      <c r="O43" s="156" t="str">
        <f t="shared" si="176"/>
        <v/>
      </c>
      <c r="Q43" s="427" t="str">
        <f>IF(AND(NOT(C42=""),C43=""),SUM($Q$28:Q42),IF(C43="","",IF(HZ19="Engine",IE19,"")))</f>
        <v/>
      </c>
      <c r="R43" s="154"/>
      <c r="S43" s="427" t="str">
        <f>IF(AND(NOT(C42=""),C43=""),SUM($S$28:S42),IF(C43="","",IF(HZ19="Engine",IF19,"")))</f>
        <v/>
      </c>
      <c r="U43" s="425" t="str">
        <f t="shared" si="177"/>
        <v/>
      </c>
      <c r="V43" s="425"/>
      <c r="W43" s="425" t="str">
        <f t="shared" si="178"/>
        <v/>
      </c>
      <c r="X43" s="428" t="str">
        <f>IF(AND(NOT(C42=""),C43=""),SUM($X$28:X42),IF(C43="","",IF(HZ19="Engine",-IG19,"")))</f>
        <v/>
      </c>
      <c r="Y43" s="429" t="str">
        <f t="shared" si="179"/>
        <v/>
      </c>
      <c r="Z43" s="26"/>
      <c r="AC43" s="20">
        <v>4.7</v>
      </c>
      <c r="AD43" s="18">
        <f>AD42-($AD$41-$AD$46)/5</f>
        <v>0.84599999999999997</v>
      </c>
      <c r="AE43" s="18">
        <f>AE42-($AE$41-$AE$46)/5</f>
        <v>1.0819999999999999</v>
      </c>
      <c r="AF43" s="18">
        <f>AF42-($AF$41-$AF$46)/5</f>
        <v>0.84599999999999997</v>
      </c>
      <c r="AG43" s="18">
        <f>AG42-($AG$41-$AG$46)/5</f>
        <v>1.0740000000000001</v>
      </c>
      <c r="AH43" s="50">
        <f t="shared" si="156"/>
        <v>2542699.9999999995</v>
      </c>
      <c r="AI43" s="51">
        <f t="shared" si="157"/>
        <v>79.524000000000001</v>
      </c>
      <c r="AJ43" s="50">
        <f t="shared" si="91"/>
        <v>6802.9777174186393</v>
      </c>
      <c r="AK43" s="50">
        <f t="shared" si="92"/>
        <v>31973.995271867607</v>
      </c>
      <c r="AL43" s="348">
        <f t="shared" si="185"/>
        <v>2650095</v>
      </c>
      <c r="AM43" s="354">
        <f t="shared" si="186"/>
        <v>130.46906250000001</v>
      </c>
      <c r="AN43" s="348">
        <f t="shared" si="187"/>
        <v>4321.7141994869471</v>
      </c>
      <c r="AO43" s="348">
        <f t="shared" si="188"/>
        <v>20312.056737588653</v>
      </c>
      <c r="AP43" s="138"/>
      <c r="AQ43" s="349">
        <f t="shared" si="189"/>
        <v>4.7</v>
      </c>
      <c r="AR43" s="50">
        <f t="shared" si="158"/>
        <v>2650095</v>
      </c>
      <c r="AS43" s="51">
        <f t="shared" si="190"/>
        <v>130.46906250000001</v>
      </c>
      <c r="AT43" s="348">
        <f t="shared" si="191"/>
        <v>4321.7141994869471</v>
      </c>
      <c r="AU43" s="348">
        <f t="shared" si="192"/>
        <v>20312.056737588653</v>
      </c>
      <c r="AV43" s="350">
        <f t="shared" si="49"/>
        <v>2650095</v>
      </c>
      <c r="AW43" s="349">
        <f t="shared" si="162"/>
        <v>130.46906250000001</v>
      </c>
      <c r="AX43" s="348">
        <f t="shared" si="193"/>
        <v>4321.7141994869471</v>
      </c>
      <c r="AY43" s="348">
        <f t="shared" si="194"/>
        <v>20312.056737588653</v>
      </c>
      <c r="AZ43" s="50"/>
      <c r="BA43" s="50"/>
      <c r="BB43" s="50"/>
      <c r="BC43" s="23"/>
      <c r="BD43" s="27"/>
      <c r="BE43" s="23"/>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M43" s="44">
        <f t="shared" si="232"/>
        <v>37</v>
      </c>
      <c r="DN43" s="41">
        <f t="shared" si="206"/>
        <v>12272520</v>
      </c>
      <c r="DO43" s="41">
        <f t="shared" si="233"/>
        <v>122596.73076923078</v>
      </c>
      <c r="DP43" s="42">
        <f t="shared" si="207"/>
        <v>0</v>
      </c>
      <c r="DQ43" s="42">
        <f t="shared" si="208"/>
        <v>0</v>
      </c>
      <c r="DR43" s="42">
        <f t="shared" si="209"/>
        <v>0</v>
      </c>
      <c r="DS43" s="42">
        <f t="shared" si="210"/>
        <v>0</v>
      </c>
      <c r="DT43" s="42">
        <f t="shared" si="211"/>
        <v>0</v>
      </c>
      <c r="DU43" s="42">
        <f t="shared" si="212"/>
        <v>0</v>
      </c>
      <c r="DV43" s="42">
        <f t="shared" si="213"/>
        <v>0</v>
      </c>
      <c r="DW43" s="42">
        <f t="shared" si="214"/>
        <v>0</v>
      </c>
      <c r="DX43" s="42">
        <f t="shared" si="215"/>
        <v>4165279.0384615352</v>
      </c>
      <c r="DY43" s="42">
        <f>IF(DM43="",DY42,DN43-SUM($DO$6:DO43)+SUM($DP$6:DV43)-SUM($DW$6:DW43))</f>
        <v>8107240.9615384648</v>
      </c>
      <c r="DZ43" s="43">
        <f t="shared" si="234"/>
        <v>0.66060116109311406</v>
      </c>
      <c r="EA43" s="43"/>
      <c r="EB43" s="43" t="str">
        <f t="shared" si="146"/>
        <v>True</v>
      </c>
      <c r="EC43" s="41">
        <f t="shared" si="132"/>
        <v>185400</v>
      </c>
      <c r="ED43" s="41">
        <f t="shared" si="133"/>
        <v>606690</v>
      </c>
      <c r="EE43" s="41">
        <f t="shared" si="216"/>
        <v>902280</v>
      </c>
      <c r="EF43" s="41">
        <f t="shared" si="235"/>
        <v>10300</v>
      </c>
      <c r="EG43" s="42">
        <f t="shared" si="236"/>
        <v>8426.25</v>
      </c>
      <c r="EH43" s="42">
        <f t="shared" si="237"/>
        <v>6265.8333333333321</v>
      </c>
      <c r="EI43" s="42">
        <f t="shared" si="217"/>
        <v>10300</v>
      </c>
      <c r="EJ43" s="42">
        <f t="shared" si="218"/>
        <v>311771</v>
      </c>
      <c r="EK43" s="42">
        <f t="shared" si="219"/>
        <v>231836</v>
      </c>
      <c r="EL43" s="42">
        <f>IF(DM43="","",EC43-SUM($EF$6:EF43)+SUM($DP$6:DP43))</f>
        <v>175100.00000000012</v>
      </c>
      <c r="EM43" s="42">
        <f>IF(DM43="","",ED43-SUM($EG$6:EG43)+SUM($DQ$6:DQ43))</f>
        <v>294918.75</v>
      </c>
      <c r="EN43" s="42">
        <f>IF(DM43="","",EE43-SUM($EH$6:EH43)+SUM($DR$6:DR43))</f>
        <v>670444.16666666651</v>
      </c>
      <c r="EO43" s="152">
        <f t="shared" si="220"/>
        <v>0.67308965377495267</v>
      </c>
      <c r="EP43" s="43"/>
      <c r="EQ43" s="42">
        <f t="shared" si="221"/>
        <v>448050</v>
      </c>
      <c r="ER43" s="42">
        <f t="shared" si="222"/>
        <v>248100</v>
      </c>
      <c r="ES43" s="42">
        <f t="shared" si="238"/>
        <v>3733.75</v>
      </c>
      <c r="ET43" s="42">
        <f t="shared" si="239"/>
        <v>6122.9807692307695</v>
      </c>
      <c r="EU43" s="42">
        <f t="shared" si="223"/>
        <v>138149</v>
      </c>
      <c r="EV43" s="42">
        <f t="shared" si="224"/>
        <v>226550</v>
      </c>
      <c r="EW43" s="42">
        <f>IF(DM43="","",IF(DS43&gt;0,DS43,EQ43-SUM($ES$6:ES43)+SUM($DS$6:DS43)))</f>
        <v>309901.25</v>
      </c>
      <c r="EX43" s="42">
        <f>IF(DM43="","",IF(DT43&gt;0,DT43,ER43-SUM($ET$6:ET43)+SUM($DT$6:DT43)))</f>
        <v>21549.711538461415</v>
      </c>
      <c r="EY43" s="43">
        <f t="shared" si="225"/>
        <v>8.6858974358973856E-2</v>
      </c>
      <c r="EZ43" s="43">
        <f t="shared" si="226"/>
        <v>0.69166666666666665</v>
      </c>
      <c r="FA43" s="43"/>
      <c r="FB43" s="42">
        <f t="shared" si="227"/>
        <v>4700000</v>
      </c>
      <c r="FC43" s="42">
        <f t="shared" si="228"/>
        <v>5182000</v>
      </c>
      <c r="FD43" s="41">
        <f t="shared" si="240"/>
        <v>54833.333333333336</v>
      </c>
      <c r="FE43" s="41">
        <f t="shared" si="241"/>
        <v>32914.583333333336</v>
      </c>
      <c r="FF43" s="42">
        <f t="shared" si="229"/>
        <v>2028833</v>
      </c>
      <c r="FG43" s="42">
        <f t="shared" si="230"/>
        <v>1217840</v>
      </c>
      <c r="FH43" s="42">
        <f>IF(DM43="","",IF(DU43&gt;0,DU43,FB43-SUM($FD$6:FD43)+SUM($DU$6:DU43)))</f>
        <v>2671166.6666666679</v>
      </c>
      <c r="FI43" s="42">
        <f>IF(DM43="","",FC43-SUM($FE$6:FE43)+SUM($DV$6:DV43)-SUM($DW$6:DW43))</f>
        <v>3964160.4166666665</v>
      </c>
      <c r="FJ43" s="152">
        <f t="shared" si="231"/>
        <v>0.67145588780948529</v>
      </c>
      <c r="FN43" s="8"/>
      <c r="FO43" s="8"/>
      <c r="FP43" s="8"/>
      <c r="FQ43" s="8"/>
      <c r="FR43" s="27">
        <v>4.7</v>
      </c>
      <c r="FS43" s="8"/>
      <c r="FT43" s="8"/>
      <c r="FU43" s="8"/>
      <c r="GC43" s="68">
        <f t="shared" si="195"/>
        <v>38</v>
      </c>
      <c r="GD43" s="78">
        <f t="shared" si="196"/>
        <v>0</v>
      </c>
      <c r="GE43" s="309">
        <f t="shared" si="197"/>
        <v>0.65061162913315551</v>
      </c>
      <c r="GF43" s="78">
        <f t="shared" si="198"/>
        <v>0</v>
      </c>
      <c r="GG43" s="310">
        <f t="shared" si="199"/>
        <v>0.65833957950939492</v>
      </c>
      <c r="GH43" s="78">
        <f t="shared" si="200"/>
        <v>0</v>
      </c>
      <c r="GI43" s="310">
        <f t="shared" si="201"/>
        <v>0.68333333333333335</v>
      </c>
      <c r="GJ43" s="311">
        <f t="shared" si="202"/>
        <v>0</v>
      </c>
      <c r="GK43" s="310">
        <f t="shared" si="203"/>
        <v>6.2179487179486639E-2</v>
      </c>
      <c r="GL43" s="311">
        <f t="shared" si="204"/>
        <v>0</v>
      </c>
      <c r="GM43" s="310">
        <f t="shared" si="205"/>
        <v>0.66257631720974175</v>
      </c>
      <c r="GO43" s="266" t="s">
        <v>4</v>
      </c>
      <c r="GP43" s="266" t="s">
        <v>276</v>
      </c>
      <c r="GQ43" s="14" t="str">
        <f>IF(GS43="","",COUNT($GS$4:GS43))</f>
        <v/>
      </c>
      <c r="GR43" s="24" t="str">
        <f t="shared" si="166"/>
        <v/>
      </c>
      <c r="GS43" s="134" t="str">
        <f t="shared" si="181"/>
        <v/>
      </c>
      <c r="GT43" s="66" t="str">
        <f>IF(GS43="","",CW32)</f>
        <v/>
      </c>
      <c r="GU43" s="66" t="str">
        <f>IF(GS43="","",2*CV32)</f>
        <v/>
      </c>
      <c r="GV43" s="265" t="str">
        <f>IF($GS43="","",2*CV31)</f>
        <v/>
      </c>
      <c r="GW43" s="265" t="str">
        <f>IF($GS43="","",2*CW31)</f>
        <v/>
      </c>
      <c r="GX43" s="265" t="str">
        <f t="shared" si="182"/>
        <v/>
      </c>
      <c r="GY43" s="66" t="str">
        <f t="shared" si="183"/>
        <v/>
      </c>
      <c r="GZ43" s="134" t="str">
        <f t="shared" si="184"/>
        <v/>
      </c>
      <c r="HA43" s="14" t="str">
        <f>IF(HC43="","",_xlfn.RANK.EQ(HC43,$HC$4:$HC$44,1)+COUNTIF($HC$4:$HC$44,HC43)-COUNTIF($HC$4:HC43,HC43))</f>
        <v/>
      </c>
      <c r="HB43" s="24" t="str">
        <f t="shared" si="39"/>
        <v/>
      </c>
      <c r="HC43" s="14" t="str">
        <f t="shared" si="0"/>
        <v/>
      </c>
      <c r="HD43" s="24" t="str">
        <f t="shared" si="40"/>
        <v/>
      </c>
      <c r="HE43" s="13" t="str">
        <f t="shared" si="1"/>
        <v/>
      </c>
      <c r="HF43" s="13" t="str">
        <f t="shared" si="169"/>
        <v/>
      </c>
      <c r="HG43" s="13"/>
      <c r="HH43" s="24" t="str">
        <f t="shared" si="3"/>
        <v/>
      </c>
      <c r="HI43" s="66" t="str">
        <f t="shared" si="4"/>
        <v/>
      </c>
      <c r="HJ43" s="82" t="str">
        <f t="shared" si="5"/>
        <v/>
      </c>
      <c r="HK43" s="66" t="str">
        <f t="shared" si="6"/>
        <v/>
      </c>
      <c r="HL43" s="66" t="str">
        <f t="shared" si="7"/>
        <v/>
      </c>
      <c r="HM43" s="66" t="str">
        <f t="shared" si="8"/>
        <v/>
      </c>
      <c r="IM43" s="13"/>
      <c r="IN43" s="13"/>
      <c r="IO43" s="13"/>
      <c r="IP43" s="13"/>
      <c r="IQ43" s="13"/>
    </row>
    <row r="44" spans="1:251" x14ac:dyDescent="0.2">
      <c r="A44" s="9"/>
      <c r="B44" s="423"/>
      <c r="C44" s="154" t="str">
        <f t="shared" si="180"/>
        <v>17    APU  SV</v>
      </c>
      <c r="D44" s="154"/>
      <c r="E44" s="424"/>
      <c r="F44" s="424"/>
      <c r="G44" s="425">
        <f t="shared" si="172"/>
        <v>123</v>
      </c>
      <c r="H44" s="425"/>
      <c r="I44" s="426">
        <f t="shared" si="173"/>
        <v>45017</v>
      </c>
      <c r="J44" s="425">
        <f t="shared" si="174"/>
        <v>35875</v>
      </c>
      <c r="K44" s="425">
        <f t="shared" si="175"/>
        <v>17937.5</v>
      </c>
      <c r="L44" s="425"/>
      <c r="M44" s="425">
        <f>IF(AND(NOT(C43=""),C44=""),SUM($M$28:M43),IF(C44="","",IF(HZ20="Engine",SUM(IE20:IF20),IE20)))</f>
        <v>248100</v>
      </c>
      <c r="N44" s="154"/>
      <c r="O44" s="156" t="str">
        <f t="shared" si="176"/>
        <v/>
      </c>
      <c r="Q44" s="427" t="str">
        <f>IF(AND(NOT(C43=""),C44=""),SUM($Q$28:Q43),IF(C44="","",IF(HZ20="Engine",IE20,"")))</f>
        <v/>
      </c>
      <c r="R44" s="154"/>
      <c r="S44" s="427" t="str">
        <f>IF(AND(NOT(C43=""),C44=""),SUM($S$28:S43),IF(C44="","",IF(HZ20="Engine",IF20,"")))</f>
        <v/>
      </c>
      <c r="U44" s="425" t="str">
        <f t="shared" si="177"/>
        <v/>
      </c>
      <c r="V44" s="425"/>
      <c r="W44" s="425" t="str">
        <f t="shared" si="178"/>
        <v/>
      </c>
      <c r="X44" s="428" t="str">
        <f>IF(AND(NOT(C43=""),C44=""),SUM($X$28:X43),IF(C44="","",IF(HZ20="Engine",-IG20,"")))</f>
        <v/>
      </c>
      <c r="Y44" s="429" t="str">
        <f t="shared" si="179"/>
        <v/>
      </c>
      <c r="Z44" s="26"/>
      <c r="AC44" s="20">
        <v>4.8</v>
      </c>
      <c r="AD44" s="18">
        <f>AD43-($AD$41-$AD$46)/5</f>
        <v>0.84399999999999997</v>
      </c>
      <c r="AE44" s="18">
        <f>AE43-($AE$41-$AE$46)/5</f>
        <v>1.0829999999999997</v>
      </c>
      <c r="AF44" s="18">
        <f>AF43-($AF$41-$AF$46)/5</f>
        <v>0.84399999999999997</v>
      </c>
      <c r="AG44" s="18">
        <f>AG43-($AG$41-$AG$46)/5</f>
        <v>1.0760000000000001</v>
      </c>
      <c r="AH44" s="50">
        <f t="shared" si="156"/>
        <v>2545049.9999999995</v>
      </c>
      <c r="AI44" s="51">
        <f t="shared" si="157"/>
        <v>79.335999999999999</v>
      </c>
      <c r="AJ44" s="50">
        <f t="shared" si="91"/>
        <v>6683.2049763033174</v>
      </c>
      <c r="AK44" s="50">
        <f t="shared" si="92"/>
        <v>32079.383886255921</v>
      </c>
      <c r="AL44" s="348">
        <f t="shared" si="185"/>
        <v>2655030</v>
      </c>
      <c r="AM44" s="354">
        <f t="shared" si="186"/>
        <v>130.16062499999998</v>
      </c>
      <c r="AN44" s="348">
        <f t="shared" si="187"/>
        <v>4249.6050552922597</v>
      </c>
      <c r="AO44" s="348">
        <f t="shared" si="188"/>
        <v>20398.104265402846</v>
      </c>
      <c r="AP44" s="138"/>
      <c r="AQ44" s="349">
        <f t="shared" si="189"/>
        <v>4.8</v>
      </c>
      <c r="AR44" s="50">
        <f t="shared" si="158"/>
        <v>2655030</v>
      </c>
      <c r="AS44" s="51">
        <f t="shared" si="190"/>
        <v>130.16062499999998</v>
      </c>
      <c r="AT44" s="348">
        <f t="shared" si="191"/>
        <v>4249.6050552922597</v>
      </c>
      <c r="AU44" s="348">
        <f t="shared" si="192"/>
        <v>20398.104265402846</v>
      </c>
      <c r="AV44" s="350">
        <f t="shared" si="49"/>
        <v>2655030</v>
      </c>
      <c r="AW44" s="349">
        <f t="shared" si="162"/>
        <v>130.16062499999998</v>
      </c>
      <c r="AX44" s="348">
        <f t="shared" si="193"/>
        <v>4249.6050552922597</v>
      </c>
      <c r="AY44" s="348">
        <f t="shared" si="194"/>
        <v>20398.104265402846</v>
      </c>
      <c r="AZ44" s="50"/>
      <c r="BA44" s="50"/>
      <c r="BB44" s="50"/>
      <c r="BC44" s="23"/>
      <c r="BD44" s="27"/>
      <c r="BE44" s="23"/>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M44" s="44">
        <f t="shared" si="232"/>
        <v>38</v>
      </c>
      <c r="DN44" s="41">
        <f t="shared" si="206"/>
        <v>12272520</v>
      </c>
      <c r="DO44" s="41">
        <f t="shared" si="233"/>
        <v>122596.73076923078</v>
      </c>
      <c r="DP44" s="42">
        <f t="shared" si="207"/>
        <v>0</v>
      </c>
      <c r="DQ44" s="42">
        <f t="shared" si="208"/>
        <v>0</v>
      </c>
      <c r="DR44" s="42">
        <f t="shared" si="209"/>
        <v>0</v>
      </c>
      <c r="DS44" s="42">
        <f t="shared" si="210"/>
        <v>0</v>
      </c>
      <c r="DT44" s="42">
        <f t="shared" si="211"/>
        <v>0</v>
      </c>
      <c r="DU44" s="42">
        <f t="shared" si="212"/>
        <v>0</v>
      </c>
      <c r="DV44" s="42">
        <f t="shared" si="213"/>
        <v>0</v>
      </c>
      <c r="DW44" s="42">
        <f t="shared" si="214"/>
        <v>0</v>
      </c>
      <c r="DX44" s="42">
        <f t="shared" si="215"/>
        <v>4287875.7692307662</v>
      </c>
      <c r="DY44" s="42">
        <f>IF(DM44="",DY43,DN44-SUM($DO$6:DO44)+SUM($DP$6:DV44)-SUM($DW$6:DW44))</f>
        <v>7984644.2307692338</v>
      </c>
      <c r="DZ44" s="43">
        <f t="shared" si="234"/>
        <v>0.65061162913315551</v>
      </c>
      <c r="EA44" s="43"/>
      <c r="EB44" s="43" t="str">
        <f t="shared" si="146"/>
        <v>True</v>
      </c>
      <c r="EC44" s="41">
        <f t="shared" si="132"/>
        <v>185400</v>
      </c>
      <c r="ED44" s="41">
        <f t="shared" si="133"/>
        <v>606690</v>
      </c>
      <c r="EE44" s="41">
        <f t="shared" si="216"/>
        <v>902280</v>
      </c>
      <c r="EF44" s="41">
        <f t="shared" si="235"/>
        <v>10300</v>
      </c>
      <c r="EG44" s="42">
        <f t="shared" si="236"/>
        <v>8426.25</v>
      </c>
      <c r="EH44" s="42">
        <f t="shared" si="237"/>
        <v>6265.8333333333321</v>
      </c>
      <c r="EI44" s="42">
        <f t="shared" si="217"/>
        <v>20600</v>
      </c>
      <c r="EJ44" s="42">
        <f t="shared" si="218"/>
        <v>320198</v>
      </c>
      <c r="EK44" s="42">
        <f t="shared" si="219"/>
        <v>238102</v>
      </c>
      <c r="EL44" s="42">
        <f>IF(DM44="","",EC44-SUM($EF$6:EF44)+SUM($DP$6:DP44))</f>
        <v>164800.00000000012</v>
      </c>
      <c r="EM44" s="42">
        <f>IF(DM44="","",ED44-SUM($EG$6:EG44)+SUM($DQ$6:DQ44))</f>
        <v>286492.5</v>
      </c>
      <c r="EN44" s="42">
        <f>IF(DM44="","",EE44-SUM($EH$6:EH44)+SUM($DR$6:DR44))</f>
        <v>664178.33333333326</v>
      </c>
      <c r="EO44" s="152">
        <f t="shared" si="220"/>
        <v>0.65833957950939492</v>
      </c>
      <c r="EP44" s="43"/>
      <c r="EQ44" s="42">
        <f t="shared" si="221"/>
        <v>448050</v>
      </c>
      <c r="ER44" s="42">
        <f t="shared" si="222"/>
        <v>248100</v>
      </c>
      <c r="ES44" s="42">
        <f t="shared" si="238"/>
        <v>3733.75</v>
      </c>
      <c r="ET44" s="42">
        <f t="shared" si="239"/>
        <v>6122.9807692307695</v>
      </c>
      <c r="EU44" s="42">
        <f t="shared" si="223"/>
        <v>141883</v>
      </c>
      <c r="EV44" s="42">
        <f t="shared" si="224"/>
        <v>232673</v>
      </c>
      <c r="EW44" s="42">
        <f>IF(DM44="","",IF(DS44&gt;0,DS44,EQ44-SUM($ES$6:ES44)+SUM($DS$6:DS44)))</f>
        <v>306167.5</v>
      </c>
      <c r="EX44" s="42">
        <f>IF(DM44="","",IF(DT44&gt;0,DT44,ER44-SUM($ET$6:ET44)+SUM($DT$6:DT44)))</f>
        <v>15426.730769230635</v>
      </c>
      <c r="EY44" s="43">
        <f t="shared" si="225"/>
        <v>6.2179487179486639E-2</v>
      </c>
      <c r="EZ44" s="43">
        <f t="shared" si="226"/>
        <v>0.68333333333333335</v>
      </c>
      <c r="FA44" s="43"/>
      <c r="FB44" s="42">
        <f t="shared" si="227"/>
        <v>4700000</v>
      </c>
      <c r="FC44" s="42">
        <f t="shared" si="228"/>
        <v>5182000</v>
      </c>
      <c r="FD44" s="41">
        <f t="shared" si="240"/>
        <v>54833.333333333336</v>
      </c>
      <c r="FE44" s="41">
        <f t="shared" si="241"/>
        <v>32914.583333333336</v>
      </c>
      <c r="FF44" s="42">
        <f t="shared" si="229"/>
        <v>2083667</v>
      </c>
      <c r="FG44" s="42">
        <f t="shared" si="230"/>
        <v>1250754</v>
      </c>
      <c r="FH44" s="42">
        <f>IF(DM44="","",IF(DU44&gt;0,DU44,FB44-SUM($FD$6:FD44)+SUM($DU$6:DU44)))</f>
        <v>2616333.3333333344</v>
      </c>
      <c r="FI44" s="42">
        <f>IF(DM44="","",FC44-SUM($FE$6:FE44)+SUM($DV$6:DV44)-SUM($DW$6:DW44))</f>
        <v>3931245.833333333</v>
      </c>
      <c r="FJ44" s="152">
        <f t="shared" si="231"/>
        <v>0.66257631720974175</v>
      </c>
      <c r="FN44" s="8"/>
      <c r="FO44" s="8"/>
      <c r="FP44" s="8"/>
      <c r="FQ44" s="8"/>
      <c r="FR44" s="27">
        <v>4.8</v>
      </c>
      <c r="FS44" s="8"/>
      <c r="FT44" s="8"/>
      <c r="FU44" s="8"/>
      <c r="GC44" s="68">
        <f t="shared" si="195"/>
        <v>39</v>
      </c>
      <c r="GD44" s="78">
        <f t="shared" si="196"/>
        <v>0</v>
      </c>
      <c r="GE44" s="309">
        <f t="shared" si="197"/>
        <v>0.64062209717319696</v>
      </c>
      <c r="GF44" s="78">
        <f t="shared" si="198"/>
        <v>0</v>
      </c>
      <c r="GG44" s="310">
        <f t="shared" si="199"/>
        <v>0.64358950524383696</v>
      </c>
      <c r="GH44" s="78">
        <f t="shared" si="200"/>
        <v>0</v>
      </c>
      <c r="GI44" s="310">
        <f t="shared" si="201"/>
        <v>0.67500000000000004</v>
      </c>
      <c r="GJ44" s="311">
        <f t="shared" si="202"/>
        <v>0</v>
      </c>
      <c r="GK44" s="310">
        <f t="shared" si="203"/>
        <v>3.7499999999999416E-2</v>
      </c>
      <c r="GL44" s="311">
        <f t="shared" si="204"/>
        <v>0</v>
      </c>
      <c r="GM44" s="310">
        <f t="shared" si="205"/>
        <v>0.6536967466099981</v>
      </c>
      <c r="GO44" s="287" t="s">
        <v>4</v>
      </c>
      <c r="GP44" s="287" t="s">
        <v>276</v>
      </c>
      <c r="GQ44" s="288" t="str">
        <f>IF(GS44="","",COUNT($GS$4:GS44))</f>
        <v/>
      </c>
      <c r="GR44" s="242" t="str">
        <f t="shared" si="166"/>
        <v/>
      </c>
      <c r="GS44" s="289" t="str">
        <f t="shared" si="181"/>
        <v/>
      </c>
      <c r="GT44" s="147" t="str">
        <f>IF(GS44="","",CZ32)</f>
        <v/>
      </c>
      <c r="GU44" s="286" t="str">
        <f>IF(GS44="","",2*CY32)</f>
        <v/>
      </c>
      <c r="GV44" s="290" t="str">
        <f>IF($GS44="","",2*CY31)</f>
        <v/>
      </c>
      <c r="GW44" s="290" t="str">
        <f>IF($GS44="","",2*CZ31)</f>
        <v/>
      </c>
      <c r="GX44" s="290" t="str">
        <f t="shared" si="182"/>
        <v/>
      </c>
      <c r="GY44" s="286" t="str">
        <f t="shared" si="183"/>
        <v/>
      </c>
      <c r="GZ44" s="289" t="str">
        <f t="shared" si="184"/>
        <v/>
      </c>
      <c r="HA44" s="288" t="str">
        <f>IF(HC44="","",_xlfn.RANK.EQ(HC44,$HC$4:$HC$44,1)+COUNTIF($HC$4:$HC$44,HC44)-COUNTIF($HC$4:HC44,HC44))</f>
        <v/>
      </c>
      <c r="HB44" s="242"/>
      <c r="HC44" s="146"/>
      <c r="HD44" s="242" t="str">
        <f t="shared" si="40"/>
        <v/>
      </c>
      <c r="HE44" s="146"/>
      <c r="HF44" s="146"/>
      <c r="HG44" s="146"/>
      <c r="HH44" s="146"/>
      <c r="HI44" s="146"/>
      <c r="HJ44" s="338" t="str">
        <f t="shared" si="5"/>
        <v/>
      </c>
      <c r="HK44" s="286" t="str">
        <f t="shared" si="6"/>
        <v/>
      </c>
      <c r="HL44" s="286" t="str">
        <f t="shared" si="7"/>
        <v/>
      </c>
      <c r="HM44" s="286" t="str">
        <f t="shared" si="8"/>
        <v/>
      </c>
      <c r="HN44" s="147"/>
      <c r="HO44" s="147"/>
      <c r="HP44" s="147"/>
      <c r="HQ44" s="147"/>
      <c r="HR44" s="147"/>
      <c r="HS44" s="147"/>
      <c r="HT44" s="147"/>
      <c r="HU44" s="147"/>
      <c r="HV44" s="147"/>
      <c r="HW44" s="147"/>
      <c r="HX44" s="147"/>
      <c r="HY44" s="147"/>
      <c r="HZ44" s="147"/>
      <c r="IA44" s="147"/>
      <c r="IB44" s="147"/>
      <c r="IC44" s="147"/>
      <c r="ID44" s="147"/>
      <c r="IE44" s="147"/>
      <c r="IF44" s="147"/>
      <c r="IG44" s="147"/>
      <c r="IH44" s="147"/>
      <c r="II44" s="147"/>
      <c r="IM44" s="13"/>
      <c r="IN44" s="13"/>
      <c r="IO44" s="13"/>
      <c r="IP44" s="13"/>
      <c r="IQ44" s="13"/>
    </row>
    <row r="45" spans="1:251" x14ac:dyDescent="0.2">
      <c r="A45" s="9"/>
      <c r="B45" s="423"/>
      <c r="C45" s="154" t="str">
        <f t="shared" si="180"/>
        <v>18    APU  SV</v>
      </c>
      <c r="D45" s="154"/>
      <c r="E45" s="424"/>
      <c r="F45" s="424"/>
      <c r="G45" s="425">
        <f t="shared" si="172"/>
        <v>164</v>
      </c>
      <c r="H45" s="425"/>
      <c r="I45" s="426">
        <f t="shared" si="173"/>
        <v>46266</v>
      </c>
      <c r="J45" s="425">
        <f t="shared" si="174"/>
        <v>47833.333333333336</v>
      </c>
      <c r="K45" s="425">
        <f t="shared" si="175"/>
        <v>23916.666666666668</v>
      </c>
      <c r="L45" s="425"/>
      <c r="M45" s="425">
        <f>IF(AND(NOT(C44=""),C45=""),SUM($M$28:M44),IF(C45="","",IF(HZ21="Engine",SUM(IE21:IF21),IE21)))</f>
        <v>248100</v>
      </c>
      <c r="N45" s="154"/>
      <c r="O45" s="156" t="str">
        <f t="shared" si="176"/>
        <v/>
      </c>
      <c r="P45" s="154"/>
      <c r="Q45" s="427" t="str">
        <f>IF(AND(NOT(C44=""),C45=""),SUM($Q$28:Q44),IF(C45="","",IF(HZ21="Engine",IE21,"")))</f>
        <v/>
      </c>
      <c r="R45" s="154"/>
      <c r="S45" s="427" t="str">
        <f>IF(AND(NOT(C44=""),C45=""),SUM($S$28:S44),IF(C45="","",IF(HZ21="Engine",IF21,"")))</f>
        <v/>
      </c>
      <c r="T45" s="427"/>
      <c r="U45" s="425" t="str">
        <f t="shared" si="177"/>
        <v/>
      </c>
      <c r="V45" s="425"/>
      <c r="W45" s="425" t="str">
        <f t="shared" si="178"/>
        <v/>
      </c>
      <c r="X45" s="428" t="str">
        <f>IF(AND(NOT(C44=""),C45=""),SUM($X$28:X44),IF(C45="","",IF(HZ21="Engine",-IG21,"")))</f>
        <v/>
      </c>
      <c r="Y45" s="429" t="str">
        <f t="shared" si="179"/>
        <v/>
      </c>
      <c r="Z45" s="26"/>
      <c r="AC45" s="20">
        <v>4.9000000000000004</v>
      </c>
      <c r="AD45" s="18">
        <f>AD44-($AD$41-$AD$46)/5</f>
        <v>0.84199999999999997</v>
      </c>
      <c r="AE45" s="18">
        <f>AE44-($AE$41-$AE$46)/5</f>
        <v>1.0839999999999996</v>
      </c>
      <c r="AF45" s="18">
        <f>AF44-($AF$41-$AF$46)/5</f>
        <v>0.84199999999999997</v>
      </c>
      <c r="AG45" s="18">
        <f>AG44-($AG$41-$AG$46)/5</f>
        <v>1.0780000000000001</v>
      </c>
      <c r="AH45" s="50">
        <f t="shared" si="156"/>
        <v>2547399.9999999991</v>
      </c>
      <c r="AI45" s="51">
        <f t="shared" si="157"/>
        <v>79.147999999999996</v>
      </c>
      <c r="AJ45" s="50">
        <f t="shared" si="91"/>
        <v>6568.423093703037</v>
      </c>
      <c r="AK45" s="50">
        <f t="shared" si="92"/>
        <v>32185.273159144883</v>
      </c>
      <c r="AL45" s="348">
        <f t="shared" si="185"/>
        <v>2659965</v>
      </c>
      <c r="AM45" s="354">
        <f t="shared" si="186"/>
        <v>129.85218749999999</v>
      </c>
      <c r="AN45" s="348">
        <f t="shared" si="187"/>
        <v>4180.5225653206653</v>
      </c>
      <c r="AO45" s="348">
        <f t="shared" si="188"/>
        <v>20484.560570071262</v>
      </c>
      <c r="AP45" s="138"/>
      <c r="AQ45" s="349">
        <f t="shared" si="189"/>
        <v>4.9000000000000004</v>
      </c>
      <c r="AR45" s="50">
        <f t="shared" si="158"/>
        <v>2659965</v>
      </c>
      <c r="AS45" s="51">
        <f t="shared" si="190"/>
        <v>129.85218749999999</v>
      </c>
      <c r="AT45" s="348">
        <f t="shared" si="191"/>
        <v>4180.5225653206653</v>
      </c>
      <c r="AU45" s="348">
        <f t="shared" si="192"/>
        <v>20484.560570071262</v>
      </c>
      <c r="AV45" s="350">
        <f t="shared" si="49"/>
        <v>2659965</v>
      </c>
      <c r="AW45" s="349">
        <f t="shared" si="162"/>
        <v>129.85218749999999</v>
      </c>
      <c r="AX45" s="348">
        <f t="shared" si="193"/>
        <v>4180.5225653206653</v>
      </c>
      <c r="AY45" s="348">
        <f t="shared" si="194"/>
        <v>20484.560570071262</v>
      </c>
      <c r="AZ45" s="50"/>
      <c r="BA45" s="50"/>
      <c r="BB45" s="50"/>
      <c r="BC45" s="23"/>
      <c r="BD45" s="27"/>
      <c r="BE45" s="23"/>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M45" s="44">
        <f t="shared" si="232"/>
        <v>39</v>
      </c>
      <c r="DN45" s="41">
        <f t="shared" si="206"/>
        <v>12272520</v>
      </c>
      <c r="DO45" s="41">
        <f t="shared" si="233"/>
        <v>122596.73076923078</v>
      </c>
      <c r="DP45" s="42">
        <f t="shared" si="207"/>
        <v>0</v>
      </c>
      <c r="DQ45" s="42">
        <f t="shared" si="208"/>
        <v>0</v>
      </c>
      <c r="DR45" s="42">
        <f t="shared" si="209"/>
        <v>0</v>
      </c>
      <c r="DS45" s="42">
        <f t="shared" si="210"/>
        <v>0</v>
      </c>
      <c r="DT45" s="42">
        <f t="shared" si="211"/>
        <v>0</v>
      </c>
      <c r="DU45" s="42">
        <f t="shared" si="212"/>
        <v>0</v>
      </c>
      <c r="DV45" s="42">
        <f t="shared" si="213"/>
        <v>0</v>
      </c>
      <c r="DW45" s="42">
        <f t="shared" si="214"/>
        <v>0</v>
      </c>
      <c r="DX45" s="42">
        <f t="shared" si="215"/>
        <v>4410472.4999999972</v>
      </c>
      <c r="DY45" s="42">
        <f>IF(DM45="",DY44,DN45-SUM($DO$6:DO45)+SUM($DP$6:DV45)-SUM($DW$6:DW45))</f>
        <v>7862047.5000000028</v>
      </c>
      <c r="DZ45" s="43">
        <f t="shared" si="234"/>
        <v>0.64062209717319696</v>
      </c>
      <c r="EA45" s="43"/>
      <c r="EB45" s="43" t="str">
        <f t="shared" si="146"/>
        <v>True</v>
      </c>
      <c r="EC45" s="41">
        <f t="shared" si="132"/>
        <v>185400</v>
      </c>
      <c r="ED45" s="41">
        <f t="shared" si="133"/>
        <v>606690</v>
      </c>
      <c r="EE45" s="41">
        <f t="shared" si="216"/>
        <v>902280</v>
      </c>
      <c r="EF45" s="41">
        <f t="shared" si="235"/>
        <v>10300</v>
      </c>
      <c r="EG45" s="42">
        <f t="shared" si="236"/>
        <v>8426.25</v>
      </c>
      <c r="EH45" s="42">
        <f t="shared" si="237"/>
        <v>6265.8333333333321</v>
      </c>
      <c r="EI45" s="42">
        <f t="shared" si="217"/>
        <v>30900</v>
      </c>
      <c r="EJ45" s="42">
        <f t="shared" si="218"/>
        <v>328624</v>
      </c>
      <c r="EK45" s="42">
        <f t="shared" si="219"/>
        <v>244368</v>
      </c>
      <c r="EL45" s="42">
        <f>IF(DM45="","",EC45-SUM($EF$6:EF45)+SUM($DP$6:DP45))</f>
        <v>154500.00000000012</v>
      </c>
      <c r="EM45" s="42">
        <f>IF(DM45="","",ED45-SUM($EG$6:EG45)+SUM($DQ$6:DQ45))</f>
        <v>278066.25</v>
      </c>
      <c r="EN45" s="42">
        <f>IF(DM45="","",EE45-SUM($EH$6:EH45)+SUM($DR$6:DR45))</f>
        <v>657912.49999999988</v>
      </c>
      <c r="EO45" s="152">
        <f t="shared" si="220"/>
        <v>0.64358950524383696</v>
      </c>
      <c r="EP45" s="43"/>
      <c r="EQ45" s="42">
        <f t="shared" si="221"/>
        <v>448050</v>
      </c>
      <c r="ER45" s="42">
        <f t="shared" si="222"/>
        <v>248100</v>
      </c>
      <c r="ES45" s="42">
        <f t="shared" si="238"/>
        <v>3733.75</v>
      </c>
      <c r="ET45" s="42">
        <f t="shared" si="239"/>
        <v>6122.9807692307695</v>
      </c>
      <c r="EU45" s="42">
        <f t="shared" si="223"/>
        <v>145616</v>
      </c>
      <c r="EV45" s="42">
        <f t="shared" si="224"/>
        <v>238796</v>
      </c>
      <c r="EW45" s="42">
        <f>IF(DM45="","",IF(DS45&gt;0,DS45,EQ45-SUM($ES$6:ES45)+SUM($DS$6:DS45)))</f>
        <v>302433.75</v>
      </c>
      <c r="EX45" s="42">
        <f>IF(DM45="","",IF(DT45&gt;0,DT45,ER45-SUM($ET$6:ET45)+SUM($DT$6:DT45)))</f>
        <v>9303.7499999998545</v>
      </c>
      <c r="EY45" s="43">
        <f t="shared" si="225"/>
        <v>3.7499999999999416E-2</v>
      </c>
      <c r="EZ45" s="43">
        <f t="shared" si="226"/>
        <v>0.67500000000000004</v>
      </c>
      <c r="FA45" s="43"/>
      <c r="FB45" s="42">
        <f t="shared" si="227"/>
        <v>4700000</v>
      </c>
      <c r="FC45" s="42">
        <f t="shared" si="228"/>
        <v>5182000</v>
      </c>
      <c r="FD45" s="41">
        <f t="shared" si="240"/>
        <v>54833.333333333336</v>
      </c>
      <c r="FE45" s="41">
        <f t="shared" si="241"/>
        <v>32914.583333333336</v>
      </c>
      <c r="FF45" s="42">
        <f t="shared" si="229"/>
        <v>2138500</v>
      </c>
      <c r="FG45" s="42">
        <f t="shared" si="230"/>
        <v>1283669</v>
      </c>
      <c r="FH45" s="42">
        <f>IF(DM45="","",IF(DU45&gt;0,DU45,FB45-SUM($FD$6:FD45)+SUM($DU$6:DU45)))</f>
        <v>2561500.0000000009</v>
      </c>
      <c r="FI45" s="42">
        <f>IF(DM45="","",FC45-SUM($FE$6:FE45)+SUM($DV$6:DV45)-SUM($DW$6:DW45))</f>
        <v>3898331.25</v>
      </c>
      <c r="FJ45" s="152">
        <f t="shared" si="231"/>
        <v>0.6536967466099981</v>
      </c>
      <c r="FN45" s="8"/>
      <c r="FO45" s="8"/>
      <c r="FP45" s="8"/>
      <c r="FQ45" s="8"/>
      <c r="FR45" s="27">
        <v>4.9000000000000004</v>
      </c>
      <c r="FS45" s="8"/>
      <c r="FT45" s="8"/>
      <c r="FU45" s="8"/>
      <c r="GC45" s="68">
        <f t="shared" si="195"/>
        <v>40</v>
      </c>
      <c r="GD45" s="78">
        <f t="shared" si="196"/>
        <v>0</v>
      </c>
      <c r="GE45" s="309">
        <f t="shared" si="197"/>
        <v>0.63063256521323829</v>
      </c>
      <c r="GF45" s="78">
        <f t="shared" si="198"/>
        <v>0</v>
      </c>
      <c r="GG45" s="310">
        <f t="shared" si="199"/>
        <v>0.62883943097827899</v>
      </c>
      <c r="GH45" s="78">
        <f t="shared" si="200"/>
        <v>0</v>
      </c>
      <c r="GI45" s="310">
        <f t="shared" si="201"/>
        <v>0.66666666666666663</v>
      </c>
      <c r="GJ45" s="311">
        <f t="shared" si="202"/>
        <v>0</v>
      </c>
      <c r="GK45" s="310">
        <f t="shared" si="203"/>
        <v>1.2820512820512189E-2</v>
      </c>
      <c r="GL45" s="311">
        <f t="shared" si="204"/>
        <v>0</v>
      </c>
      <c r="GM45" s="310">
        <f t="shared" si="205"/>
        <v>0.64481717601025434</v>
      </c>
      <c r="HB45" s="22"/>
      <c r="HE45" s="9"/>
      <c r="IM45" s="13"/>
      <c r="IN45" s="13"/>
      <c r="IO45" s="13"/>
      <c r="IP45" s="13"/>
      <c r="IQ45" s="13"/>
    </row>
    <row r="46" spans="1:251" x14ac:dyDescent="0.2">
      <c r="A46" s="9"/>
      <c r="B46" s="423"/>
      <c r="C46" s="154" t="str">
        <f t="shared" si="180"/>
        <v>19    Engine  SV (2 Each)</v>
      </c>
      <c r="D46" s="154"/>
      <c r="E46" s="424"/>
      <c r="F46" s="424"/>
      <c r="G46" s="425">
        <f t="shared" si="172"/>
        <v>85</v>
      </c>
      <c r="H46" s="425"/>
      <c r="I46" s="426">
        <f t="shared" si="173"/>
        <v>43862</v>
      </c>
      <c r="J46" s="430">
        <f t="shared" si="174"/>
        <v>24791.666666666668</v>
      </c>
      <c r="K46" s="430">
        <f t="shared" si="175"/>
        <v>12395.833333333334</v>
      </c>
      <c r="L46" s="425"/>
      <c r="M46" s="425">
        <f>IF(AND(NOT(C45=""),C46=""),SUM($M$28:M45),IF(C46="","",IF(HZ22="Engine",SUM(IE22:IF22),IE22)))</f>
        <v>7307000</v>
      </c>
      <c r="N46" s="154"/>
      <c r="O46" s="156" t="str">
        <f t="shared" si="176"/>
        <v>PR</v>
      </c>
      <c r="Q46" s="427">
        <f>IF(AND(NOT(C45=""),C46=""),SUM($Q$28:Q45),IF(C46="","",IF(HZ22="Engine",IE22,"")))</f>
        <v>4700000</v>
      </c>
      <c r="R46" s="154"/>
      <c r="S46" s="427">
        <f>IF(AND(NOT(C45=""),C46=""),SUM($S$28:S45),IF(C46="","",IF(HZ22="Engine",IF22,"")))</f>
        <v>2607000</v>
      </c>
      <c r="U46" s="425">
        <f t="shared" si="177"/>
        <v>25000</v>
      </c>
      <c r="V46" s="425"/>
      <c r="W46" s="425">
        <f t="shared" si="178"/>
        <v>12500</v>
      </c>
      <c r="X46" s="428">
        <f>IF(AND(NOT(C45=""),C46=""),SUM($X$28:X45),IF(C46="","",IF(HZ22="Engine",-IG22,"")))</f>
        <v>-977850</v>
      </c>
      <c r="Y46" s="429">
        <f t="shared" si="179"/>
        <v>0.18870127363952141</v>
      </c>
      <c r="Z46" s="26"/>
      <c r="AC46" s="136">
        <v>5</v>
      </c>
      <c r="AD46" s="137">
        <f>IF($FY$7="True",SOURCE!BL15,SOURCE!BP15)</f>
        <v>0.84</v>
      </c>
      <c r="AE46" s="137">
        <f>IF($FY$7="True",SOURCE!BM15,SOURCE!BQ15)</f>
        <v>1.085</v>
      </c>
      <c r="AF46" s="137">
        <f>IF($FY$7="True",SOURCE!BN15,SOURCE!BR15)</f>
        <v>0.84</v>
      </c>
      <c r="AG46" s="137">
        <f>IF($FY$7="True",SOURCE!BO15,SOURCE!BS15)</f>
        <v>1.08</v>
      </c>
      <c r="AH46" s="138">
        <f t="shared" si="156"/>
        <v>2549750</v>
      </c>
      <c r="AI46" s="136">
        <f t="shared" si="157"/>
        <v>78.959999999999994</v>
      </c>
      <c r="AJ46" s="138">
        <f t="shared" si="91"/>
        <v>6458.3333333333339</v>
      </c>
      <c r="AK46" s="138">
        <f t="shared" si="92"/>
        <v>32291.666666666668</v>
      </c>
      <c r="AL46" s="138">
        <f t="shared" si="185"/>
        <v>2664900</v>
      </c>
      <c r="AM46" s="355">
        <f t="shared" si="186"/>
        <v>129.54374999999999</v>
      </c>
      <c r="AN46" s="138">
        <f t="shared" si="187"/>
        <v>4114.2857142857147</v>
      </c>
      <c r="AO46" s="138">
        <f t="shared" si="188"/>
        <v>20571.428571428572</v>
      </c>
      <c r="AP46" s="138"/>
      <c r="AQ46" s="136">
        <f t="shared" si="189"/>
        <v>5</v>
      </c>
      <c r="AR46" s="138">
        <f t="shared" si="158"/>
        <v>2664900</v>
      </c>
      <c r="AS46" s="136">
        <f t="shared" si="190"/>
        <v>129.54374999999999</v>
      </c>
      <c r="AT46" s="138">
        <f t="shared" si="191"/>
        <v>4114.2857142857147</v>
      </c>
      <c r="AU46" s="138">
        <f t="shared" si="192"/>
        <v>20571.428571428572</v>
      </c>
      <c r="AV46" s="33">
        <f t="shared" si="49"/>
        <v>2664900</v>
      </c>
      <c r="AW46" s="136">
        <f t="shared" si="162"/>
        <v>129.54374999999999</v>
      </c>
      <c r="AX46" s="138">
        <f t="shared" si="193"/>
        <v>4114.2857142857147</v>
      </c>
      <c r="AY46" s="138">
        <f t="shared" si="194"/>
        <v>20571.428571428572</v>
      </c>
      <c r="AZ46" s="50"/>
      <c r="BA46" s="50"/>
      <c r="BB46" s="50"/>
      <c r="BC46" s="23"/>
      <c r="BD46" s="27"/>
      <c r="BE46" s="23"/>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M46" s="44">
        <f t="shared" si="232"/>
        <v>40</v>
      </c>
      <c r="DN46" s="41">
        <f t="shared" si="206"/>
        <v>12272520</v>
      </c>
      <c r="DO46" s="41">
        <f t="shared" si="233"/>
        <v>122596.73076923078</v>
      </c>
      <c r="DP46" s="42">
        <f t="shared" si="207"/>
        <v>0</v>
      </c>
      <c r="DQ46" s="42">
        <f t="shared" si="208"/>
        <v>0</v>
      </c>
      <c r="DR46" s="42">
        <f t="shared" si="209"/>
        <v>0</v>
      </c>
      <c r="DS46" s="42">
        <f t="shared" si="210"/>
        <v>0</v>
      </c>
      <c r="DT46" s="42">
        <f t="shared" si="211"/>
        <v>0</v>
      </c>
      <c r="DU46" s="42">
        <f t="shared" si="212"/>
        <v>0</v>
      </c>
      <c r="DV46" s="42">
        <f t="shared" si="213"/>
        <v>0</v>
      </c>
      <c r="DW46" s="42">
        <f t="shared" si="214"/>
        <v>0</v>
      </c>
      <c r="DX46" s="42">
        <f t="shared" si="215"/>
        <v>4533069.2307692282</v>
      </c>
      <c r="DY46" s="42">
        <f>IF(DM46="",DY45,DN46-SUM($DO$6:DO46)+SUM($DP$6:DV46)-SUM($DW$6:DW46))</f>
        <v>7739450.7692307718</v>
      </c>
      <c r="DZ46" s="43">
        <f t="shared" si="234"/>
        <v>0.63063256521323829</v>
      </c>
      <c r="EA46" s="43"/>
      <c r="EB46" s="43" t="str">
        <f t="shared" si="146"/>
        <v>True</v>
      </c>
      <c r="EC46" s="41">
        <f t="shared" si="132"/>
        <v>185400</v>
      </c>
      <c r="ED46" s="41">
        <f t="shared" si="133"/>
        <v>606690</v>
      </c>
      <c r="EE46" s="41">
        <f t="shared" si="216"/>
        <v>902280</v>
      </c>
      <c r="EF46" s="41">
        <f t="shared" si="235"/>
        <v>10300</v>
      </c>
      <c r="EG46" s="42">
        <f t="shared" si="236"/>
        <v>8426.25</v>
      </c>
      <c r="EH46" s="42">
        <f t="shared" si="237"/>
        <v>6265.8333333333321</v>
      </c>
      <c r="EI46" s="42">
        <f t="shared" si="217"/>
        <v>41200</v>
      </c>
      <c r="EJ46" s="42">
        <f t="shared" si="218"/>
        <v>337050</v>
      </c>
      <c r="EK46" s="42">
        <f t="shared" si="219"/>
        <v>250633</v>
      </c>
      <c r="EL46" s="42">
        <f>IF(DM46="","",EC46-SUM($EF$6:EF46)+SUM($DP$6:DP46))</f>
        <v>144200.00000000012</v>
      </c>
      <c r="EM46" s="42">
        <f>IF(DM46="","",ED46-SUM($EG$6:EG46)+SUM($DQ$6:DQ46))</f>
        <v>269640</v>
      </c>
      <c r="EN46" s="42">
        <f>IF(DM46="","",EE46-SUM($EH$6:EH46)+SUM($DR$6:DR46))</f>
        <v>651646.66666666651</v>
      </c>
      <c r="EO46" s="152">
        <f t="shared" si="220"/>
        <v>0.62883943097827899</v>
      </c>
      <c r="EP46" s="43"/>
      <c r="EQ46" s="42">
        <f t="shared" si="221"/>
        <v>448050</v>
      </c>
      <c r="ER46" s="42">
        <f t="shared" si="222"/>
        <v>248100</v>
      </c>
      <c r="ES46" s="42">
        <f t="shared" si="238"/>
        <v>3733.75</v>
      </c>
      <c r="ET46" s="42">
        <f t="shared" si="239"/>
        <v>6122.9807692307695</v>
      </c>
      <c r="EU46" s="42">
        <f t="shared" si="223"/>
        <v>149350</v>
      </c>
      <c r="EV46" s="42">
        <f t="shared" si="224"/>
        <v>244919</v>
      </c>
      <c r="EW46" s="42">
        <f>IF(DM46="","",IF(DS46&gt;0,DS46,EQ46-SUM($ES$6:ES46)+SUM($DS$6:DS46)))</f>
        <v>298700</v>
      </c>
      <c r="EX46" s="42">
        <f>IF(DM46="","",IF(DT46&gt;0,DT46,ER46-SUM($ET$6:ET46)+SUM($DT$6:DT46)))</f>
        <v>3180.7692307690741</v>
      </c>
      <c r="EY46" s="43">
        <f t="shared" si="225"/>
        <v>1.2820512820512189E-2</v>
      </c>
      <c r="EZ46" s="43">
        <f t="shared" si="226"/>
        <v>0.66666666666666663</v>
      </c>
      <c r="FA46" s="43"/>
      <c r="FB46" s="42">
        <f t="shared" si="227"/>
        <v>4700000</v>
      </c>
      <c r="FC46" s="42">
        <f t="shared" si="228"/>
        <v>5182000</v>
      </c>
      <c r="FD46" s="41">
        <f t="shared" si="240"/>
        <v>54833.333333333336</v>
      </c>
      <c r="FE46" s="41">
        <f t="shared" si="241"/>
        <v>32914.583333333336</v>
      </c>
      <c r="FF46" s="42">
        <f t="shared" si="229"/>
        <v>2193333</v>
      </c>
      <c r="FG46" s="42">
        <f t="shared" si="230"/>
        <v>1316583</v>
      </c>
      <c r="FH46" s="42">
        <f>IF(DM46="","",IF(DU46&gt;0,DU46,FB46-SUM($FD$6:FD46)+SUM($DU$6:DU46)))</f>
        <v>2506666.6666666674</v>
      </c>
      <c r="FI46" s="42">
        <f>IF(DM46="","",FC46-SUM($FE$6:FE46)+SUM($DV$6:DV46)-SUM($DW$6:DW46))</f>
        <v>3865416.666666667</v>
      </c>
      <c r="FJ46" s="152">
        <f t="shared" si="231"/>
        <v>0.64481717601025434</v>
      </c>
      <c r="FN46" s="8"/>
      <c r="FO46" s="8"/>
      <c r="FP46" s="8"/>
      <c r="FQ46" s="8"/>
      <c r="FR46" s="27">
        <v>5</v>
      </c>
      <c r="FS46" s="8"/>
      <c r="FT46" s="8"/>
      <c r="FU46" s="8"/>
      <c r="GC46" s="68">
        <f t="shared" si="195"/>
        <v>41</v>
      </c>
      <c r="GD46" s="78">
        <f t="shared" si="196"/>
        <v>248100</v>
      </c>
      <c r="GE46" s="309">
        <f t="shared" si="197"/>
        <v>0.64085893023287321</v>
      </c>
      <c r="GF46" s="78">
        <f t="shared" si="198"/>
        <v>0</v>
      </c>
      <c r="GG46" s="310">
        <f t="shared" si="199"/>
        <v>0.61408935671272113</v>
      </c>
      <c r="GH46" s="78">
        <f t="shared" si="200"/>
        <v>0</v>
      </c>
      <c r="GI46" s="310">
        <f t="shared" si="201"/>
        <v>0.65833333333333333</v>
      </c>
      <c r="GJ46" s="311">
        <f t="shared" si="202"/>
        <v>248100</v>
      </c>
      <c r="GK46" s="310">
        <f t="shared" si="203"/>
        <v>1</v>
      </c>
      <c r="GL46" s="311">
        <f t="shared" si="204"/>
        <v>0</v>
      </c>
      <c r="GM46" s="310">
        <f t="shared" si="205"/>
        <v>0.63593760541051081</v>
      </c>
      <c r="HB46" s="22"/>
      <c r="HE46" s="9"/>
      <c r="IM46" s="13"/>
      <c r="IN46" s="13"/>
      <c r="IO46" s="13"/>
      <c r="IP46" s="13"/>
      <c r="IQ46" s="13"/>
    </row>
    <row r="47" spans="1:251" x14ac:dyDescent="0.2">
      <c r="A47" s="9"/>
      <c r="B47" s="423"/>
      <c r="C47" s="154" t="str">
        <f t="shared" si="180"/>
        <v>20    Engine  SV (2 Each)</v>
      </c>
      <c r="D47" s="154"/>
      <c r="E47" s="424"/>
      <c r="F47" s="424"/>
      <c r="G47" s="425">
        <f t="shared" si="172"/>
        <v>140</v>
      </c>
      <c r="H47" s="425"/>
      <c r="I47" s="426">
        <f t="shared" si="173"/>
        <v>45536</v>
      </c>
      <c r="J47" s="425">
        <f t="shared" si="174"/>
        <v>40833.333333333336</v>
      </c>
      <c r="K47" s="425">
        <f t="shared" si="175"/>
        <v>20416.666666666668</v>
      </c>
      <c r="L47" s="425"/>
      <c r="M47" s="425">
        <f>IF(AND(NOT(C46=""),C47=""),SUM($M$28:M46),IF(C47="","",IF(HZ23="Engine",SUM(IE23:IF23),IE23)))</f>
        <v>6481375</v>
      </c>
      <c r="N47" s="154"/>
      <c r="O47" s="156" t="str">
        <f t="shared" si="176"/>
        <v xml:space="preserve">  PR+</v>
      </c>
      <c r="Q47" s="427">
        <f>IF(AND(NOT(C46=""),C47=""),SUM($Q$28:Q46),IF(C47="","",IF(HZ23="Engine",IE23,"")))</f>
        <v>5058375</v>
      </c>
      <c r="R47" s="154"/>
      <c r="S47" s="427">
        <f>IF(AND(NOT(C46=""),C47=""),SUM($S$28:S46),IF(C47="","",IF(HZ23="Engine",IF23,"")))</f>
        <v>1423000</v>
      </c>
      <c r="U47" s="425">
        <f t="shared" si="177"/>
        <v>16000</v>
      </c>
      <c r="V47" s="425"/>
      <c r="W47" s="425">
        <f t="shared" si="178"/>
        <v>8000</v>
      </c>
      <c r="X47" s="428">
        <f>IF(AND(NOT(C46=""),C47=""),SUM($X$28:X46),IF(C47="","",IF(HZ23="Engine",-IG23,"")))</f>
        <v>-256230</v>
      </c>
      <c r="Y47" s="429">
        <f t="shared" si="179"/>
        <v>4.9446159783867231E-2</v>
      </c>
      <c r="Z47" s="26"/>
      <c r="AC47" s="59"/>
      <c r="AD47" s="60"/>
      <c r="AE47" s="60"/>
      <c r="AF47" s="60"/>
      <c r="AG47" s="60"/>
      <c r="AH47" s="50"/>
      <c r="AI47" s="51"/>
      <c r="AJ47" s="50"/>
      <c r="AK47" s="50"/>
      <c r="AL47" s="50"/>
      <c r="AM47" s="51"/>
      <c r="AN47" s="50"/>
      <c r="AO47" s="50"/>
      <c r="AP47" s="50"/>
      <c r="AQ47" s="7"/>
      <c r="AR47" s="7"/>
      <c r="AS47" s="7"/>
      <c r="AT47" s="7"/>
      <c r="AU47" s="7"/>
      <c r="AV47" s="7"/>
      <c r="AW47" s="7"/>
      <c r="AX47" s="7"/>
      <c r="AY47" s="7"/>
      <c r="AZ47" s="50"/>
      <c r="BA47" s="50"/>
      <c r="BB47" s="50"/>
      <c r="BC47" s="23"/>
      <c r="BD47" s="27"/>
      <c r="BE47" s="23"/>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M47" s="44">
        <f t="shared" si="232"/>
        <v>41</v>
      </c>
      <c r="DN47" s="41">
        <f t="shared" si="206"/>
        <v>12272520</v>
      </c>
      <c r="DO47" s="41">
        <f t="shared" si="233"/>
        <v>122596.73076923078</v>
      </c>
      <c r="DP47" s="42">
        <f t="shared" si="207"/>
        <v>0</v>
      </c>
      <c r="DQ47" s="42">
        <f t="shared" si="208"/>
        <v>0</v>
      </c>
      <c r="DR47" s="42">
        <f t="shared" si="209"/>
        <v>0</v>
      </c>
      <c r="DS47" s="42">
        <f t="shared" si="210"/>
        <v>0</v>
      </c>
      <c r="DT47" s="42">
        <f t="shared" si="211"/>
        <v>248100</v>
      </c>
      <c r="DU47" s="42">
        <f t="shared" si="212"/>
        <v>0</v>
      </c>
      <c r="DV47" s="42">
        <f t="shared" si="213"/>
        <v>0</v>
      </c>
      <c r="DW47" s="42">
        <f t="shared" si="214"/>
        <v>0</v>
      </c>
      <c r="DX47" s="42">
        <f t="shared" si="215"/>
        <v>4407565.9615384592</v>
      </c>
      <c r="DY47" s="42">
        <f>IF(DM47="",DY46,DN47-SUM($DO$6:DO47)+SUM($DP$6:DV47)-SUM($DW$6:DW47))</f>
        <v>7864954.0384615408</v>
      </c>
      <c r="DZ47" s="43">
        <f t="shared" si="234"/>
        <v>0.64085893023287321</v>
      </c>
      <c r="EA47" s="43"/>
      <c r="EB47" s="43" t="str">
        <f t="shared" si="146"/>
        <v>True</v>
      </c>
      <c r="EC47" s="41">
        <f t="shared" si="132"/>
        <v>185400</v>
      </c>
      <c r="ED47" s="41">
        <f t="shared" si="133"/>
        <v>606690</v>
      </c>
      <c r="EE47" s="41">
        <f t="shared" si="216"/>
        <v>902280</v>
      </c>
      <c r="EF47" s="41">
        <f t="shared" si="235"/>
        <v>10300</v>
      </c>
      <c r="EG47" s="42">
        <f t="shared" si="236"/>
        <v>8426.25</v>
      </c>
      <c r="EH47" s="42">
        <f t="shared" si="237"/>
        <v>6265.8333333333321</v>
      </c>
      <c r="EI47" s="42">
        <f t="shared" si="217"/>
        <v>51500</v>
      </c>
      <c r="EJ47" s="42">
        <f t="shared" si="218"/>
        <v>345476</v>
      </c>
      <c r="EK47" s="42">
        <f t="shared" si="219"/>
        <v>256899</v>
      </c>
      <c r="EL47" s="42">
        <f>IF(DM47="","",EC47-SUM($EF$6:EF47)+SUM($DP$6:DP47))</f>
        <v>133900.00000000012</v>
      </c>
      <c r="EM47" s="42">
        <f>IF(DM47="","",ED47-SUM($EG$6:EG47)+SUM($DQ$6:DQ47))</f>
        <v>261213.75</v>
      </c>
      <c r="EN47" s="42">
        <f>IF(DM47="","",EE47-SUM($EH$6:EH47)+SUM($DR$6:DR47))</f>
        <v>645380.83333333326</v>
      </c>
      <c r="EO47" s="152">
        <f t="shared" si="220"/>
        <v>0.61408935671272113</v>
      </c>
      <c r="EP47" s="43"/>
      <c r="EQ47" s="42">
        <f t="shared" si="221"/>
        <v>448050</v>
      </c>
      <c r="ER47" s="42">
        <f t="shared" si="222"/>
        <v>248100</v>
      </c>
      <c r="ES47" s="42">
        <f t="shared" si="238"/>
        <v>3733.75</v>
      </c>
      <c r="ET47" s="42">
        <f t="shared" si="239"/>
        <v>6122.9807692307695</v>
      </c>
      <c r="EU47" s="42">
        <f t="shared" si="223"/>
        <v>153084</v>
      </c>
      <c r="EV47" s="42">
        <f t="shared" si="224"/>
        <v>0</v>
      </c>
      <c r="EW47" s="42">
        <f>IF(DM47="","",IF(DS47&gt;0,DS47,EQ47-SUM($ES$6:ES47)+SUM($DS$6:DS47)))</f>
        <v>294966.25</v>
      </c>
      <c r="EX47" s="42">
        <f>IF(DM47="","",IF(DT47&gt;0,DT47,ER47-SUM($ET$6:ET47)+SUM($DT$6:DT47)))</f>
        <v>248100</v>
      </c>
      <c r="EY47" s="43">
        <f t="shared" si="225"/>
        <v>1</v>
      </c>
      <c r="EZ47" s="43">
        <f t="shared" si="226"/>
        <v>0.65833333333333333</v>
      </c>
      <c r="FA47" s="43"/>
      <c r="FB47" s="42">
        <f t="shared" si="227"/>
        <v>4700000</v>
      </c>
      <c r="FC47" s="42">
        <f t="shared" si="228"/>
        <v>5182000</v>
      </c>
      <c r="FD47" s="41">
        <f t="shared" si="240"/>
        <v>54833.333333333336</v>
      </c>
      <c r="FE47" s="41">
        <f t="shared" si="241"/>
        <v>32914.583333333336</v>
      </c>
      <c r="FF47" s="42">
        <f t="shared" si="229"/>
        <v>2248167</v>
      </c>
      <c r="FG47" s="42">
        <f t="shared" si="230"/>
        <v>1349498</v>
      </c>
      <c r="FH47" s="42">
        <f>IF(DM47="","",IF(DU47&gt;0,DU47,FB47-SUM($FD$6:FD47)+SUM($DU$6:DU47)))</f>
        <v>2451833.333333334</v>
      </c>
      <c r="FI47" s="42">
        <f>IF(DM47="","",FC47-SUM($FE$6:FE47)+SUM($DV$6:DV47)-SUM($DW$6:DW47))</f>
        <v>3832502.0833333335</v>
      </c>
      <c r="FJ47" s="152">
        <f t="shared" si="231"/>
        <v>0.63593760541051081</v>
      </c>
      <c r="FN47" s="8"/>
      <c r="FO47" s="8"/>
      <c r="FP47" s="8"/>
      <c r="FQ47" s="8"/>
      <c r="FS47" s="8"/>
      <c r="FT47" s="8"/>
      <c r="FU47" s="8"/>
      <c r="GC47" s="68">
        <f t="shared" si="195"/>
        <v>42</v>
      </c>
      <c r="GD47" s="78">
        <f t="shared" si="196"/>
        <v>0</v>
      </c>
      <c r="GE47" s="309">
        <f t="shared" si="197"/>
        <v>0.63086939827291455</v>
      </c>
      <c r="GF47" s="78">
        <f t="shared" si="198"/>
        <v>0</v>
      </c>
      <c r="GG47" s="310">
        <f t="shared" si="199"/>
        <v>0.59933928244716328</v>
      </c>
      <c r="GH47" s="78">
        <f t="shared" si="200"/>
        <v>0</v>
      </c>
      <c r="GI47" s="310">
        <f t="shared" si="201"/>
        <v>0.65</v>
      </c>
      <c r="GJ47" s="311">
        <f t="shared" si="202"/>
        <v>0</v>
      </c>
      <c r="GK47" s="310">
        <f t="shared" si="203"/>
        <v>0.9634615384615377</v>
      </c>
      <c r="GL47" s="311">
        <f t="shared" si="204"/>
        <v>0</v>
      </c>
      <c r="GM47" s="310">
        <f t="shared" si="205"/>
        <v>0.62705803481076705</v>
      </c>
      <c r="HB47" s="22"/>
      <c r="HE47" s="9"/>
      <c r="IM47" s="13"/>
      <c r="IN47" s="13"/>
      <c r="IO47" s="13"/>
      <c r="IP47" s="13"/>
      <c r="IQ47" s="13"/>
    </row>
    <row r="48" spans="1:251" x14ac:dyDescent="0.2">
      <c r="A48" s="9"/>
      <c r="B48" s="423"/>
      <c r="C48" s="154" t="str">
        <f t="shared" si="180"/>
        <v/>
      </c>
      <c r="D48" s="154"/>
      <c r="E48" s="424"/>
      <c r="F48" s="424"/>
      <c r="G48" s="425" t="str">
        <f t="shared" si="172"/>
        <v/>
      </c>
      <c r="H48" s="425"/>
      <c r="I48" s="426" t="str">
        <f t="shared" si="173"/>
        <v/>
      </c>
      <c r="J48" s="425" t="str">
        <f t="shared" si="174"/>
        <v/>
      </c>
      <c r="K48" s="425" t="str">
        <f t="shared" si="175"/>
        <v/>
      </c>
      <c r="L48" s="425"/>
      <c r="M48" s="425">
        <f>IF(AND(NOT(C47=""),C48=""),SUM($M$28:M47),IF(C48="","",IF(HZ24="Engine",SUM(IE24:IF24),IE24)))</f>
        <v>19696948.5</v>
      </c>
      <c r="N48" s="154"/>
      <c r="O48" s="156" t="str">
        <f t="shared" si="176"/>
        <v/>
      </c>
      <c r="Q48" s="427">
        <f>IF(AND(NOT(C47=""),C48=""),SUM($Q$28:Q47),IF(C48="","",IF(HZ24="Engine",IE24,"")))</f>
        <v>9758375</v>
      </c>
      <c r="R48" s="154"/>
      <c r="S48" s="427">
        <f>IF(AND(NOT(C47=""),C48=""),SUM($S$28:S47),IF(C48="","",IF(HZ24="Engine",IF24,"")))</f>
        <v>4030000</v>
      </c>
      <c r="U48" s="425" t="str">
        <f t="shared" si="177"/>
        <v/>
      </c>
      <c r="V48" s="425"/>
      <c r="W48" s="425" t="str">
        <f t="shared" si="178"/>
        <v/>
      </c>
      <c r="X48" s="428">
        <f>IF(AND(NOT(C47=""),C48=""),SUM($X$28:X47),IF(C48="","",IF(HZ24="Engine",-IG24,"")))</f>
        <v>-1234080</v>
      </c>
      <c r="Y48" s="429" t="str">
        <f t="shared" si="179"/>
        <v/>
      </c>
      <c r="Z48" s="26"/>
      <c r="AJ48" s="8"/>
      <c r="AK48" s="8"/>
      <c r="AL48" s="8"/>
      <c r="AM48" s="8"/>
      <c r="AN48" s="8"/>
      <c r="AO48" s="8"/>
      <c r="AP48" s="8"/>
      <c r="AQ48" s="7"/>
      <c r="AR48" s="7"/>
      <c r="AS48" s="7"/>
      <c r="AT48" s="7"/>
      <c r="AU48" s="7"/>
      <c r="AV48" s="7"/>
      <c r="AW48" s="7"/>
      <c r="AX48" s="7"/>
      <c r="AY48" s="7"/>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M48" s="44">
        <f t="shared" si="232"/>
        <v>42</v>
      </c>
      <c r="DN48" s="41">
        <f t="shared" si="206"/>
        <v>12272520</v>
      </c>
      <c r="DO48" s="41">
        <f t="shared" si="233"/>
        <v>122596.73076923078</v>
      </c>
      <c r="DP48" s="42">
        <f t="shared" si="207"/>
        <v>0</v>
      </c>
      <c r="DQ48" s="42">
        <f t="shared" si="208"/>
        <v>0</v>
      </c>
      <c r="DR48" s="42">
        <f t="shared" si="209"/>
        <v>0</v>
      </c>
      <c r="DS48" s="42">
        <f t="shared" si="210"/>
        <v>0</v>
      </c>
      <c r="DT48" s="42">
        <f t="shared" si="211"/>
        <v>0</v>
      </c>
      <c r="DU48" s="42">
        <f t="shared" si="212"/>
        <v>0</v>
      </c>
      <c r="DV48" s="42">
        <f t="shared" si="213"/>
        <v>0</v>
      </c>
      <c r="DW48" s="42">
        <f t="shared" si="214"/>
        <v>0</v>
      </c>
      <c r="DX48" s="42">
        <f t="shared" si="215"/>
        <v>4530162.6923076902</v>
      </c>
      <c r="DY48" s="42">
        <f>IF(DM48="",DY47,DN48-SUM($DO$6:DO48)+SUM($DP$6:DV48)-SUM($DW$6:DW48))</f>
        <v>7742357.3076923098</v>
      </c>
      <c r="DZ48" s="43">
        <f t="shared" si="234"/>
        <v>0.63086939827291455</v>
      </c>
      <c r="EA48" s="43"/>
      <c r="EB48" s="43" t="str">
        <f t="shared" si="146"/>
        <v>True</v>
      </c>
      <c r="EC48" s="41">
        <f t="shared" si="132"/>
        <v>185400</v>
      </c>
      <c r="ED48" s="41">
        <f t="shared" si="133"/>
        <v>606690</v>
      </c>
      <c r="EE48" s="41">
        <f t="shared" si="216"/>
        <v>902280</v>
      </c>
      <c r="EF48" s="41">
        <f t="shared" si="235"/>
        <v>10300</v>
      </c>
      <c r="EG48" s="42">
        <f t="shared" si="236"/>
        <v>8426.25</v>
      </c>
      <c r="EH48" s="42">
        <f t="shared" si="237"/>
        <v>6265.8333333333321</v>
      </c>
      <c r="EI48" s="42">
        <f t="shared" si="217"/>
        <v>61800</v>
      </c>
      <c r="EJ48" s="42">
        <f t="shared" si="218"/>
        <v>353903</v>
      </c>
      <c r="EK48" s="42">
        <f t="shared" si="219"/>
        <v>263165</v>
      </c>
      <c r="EL48" s="42">
        <f>IF(DM48="","",EC48-SUM($EF$6:EF48)+SUM($DP$6:DP48))</f>
        <v>123600.00000000012</v>
      </c>
      <c r="EM48" s="42">
        <f>IF(DM48="","",ED48-SUM($EG$6:EG48)+SUM($DQ$6:DQ48))</f>
        <v>252787.5</v>
      </c>
      <c r="EN48" s="42">
        <f>IF(DM48="","",EE48-SUM($EH$6:EH48)+SUM($DR$6:DR48))</f>
        <v>639114.99999999988</v>
      </c>
      <c r="EO48" s="152">
        <f t="shared" si="220"/>
        <v>0.59933928244716328</v>
      </c>
      <c r="EP48" s="43"/>
      <c r="EQ48" s="42">
        <f t="shared" si="221"/>
        <v>448050</v>
      </c>
      <c r="ER48" s="42">
        <f t="shared" si="222"/>
        <v>248100</v>
      </c>
      <c r="ES48" s="42">
        <f t="shared" si="238"/>
        <v>3733.75</v>
      </c>
      <c r="ET48" s="42">
        <f t="shared" si="239"/>
        <v>6122.9807692307695</v>
      </c>
      <c r="EU48" s="42">
        <f t="shared" si="223"/>
        <v>156818</v>
      </c>
      <c r="EV48" s="42">
        <f t="shared" si="224"/>
        <v>9065</v>
      </c>
      <c r="EW48" s="42">
        <f>IF(DM48="","",IF(DS48&gt;0,DS48,EQ48-SUM($ES$6:ES48)+SUM($DS$6:DS48)))</f>
        <v>291232.5</v>
      </c>
      <c r="EX48" s="42">
        <f>IF(DM48="","",IF(DT48&gt;0,DT48,ER48-SUM($ET$6:ET48)+SUM($DT$6:DT48)))</f>
        <v>239034.80769230751</v>
      </c>
      <c r="EY48" s="43">
        <f t="shared" si="225"/>
        <v>0.9634615384615377</v>
      </c>
      <c r="EZ48" s="43">
        <f t="shared" si="226"/>
        <v>0.65</v>
      </c>
      <c r="FA48" s="43"/>
      <c r="FB48" s="42">
        <f t="shared" si="227"/>
        <v>4700000</v>
      </c>
      <c r="FC48" s="42">
        <f t="shared" si="228"/>
        <v>5182000</v>
      </c>
      <c r="FD48" s="41">
        <f t="shared" si="240"/>
        <v>54833.333333333336</v>
      </c>
      <c r="FE48" s="41">
        <f t="shared" si="241"/>
        <v>32914.583333333336</v>
      </c>
      <c r="FF48" s="42">
        <f t="shared" si="229"/>
        <v>2303000</v>
      </c>
      <c r="FG48" s="42">
        <f t="shared" si="230"/>
        <v>1382413</v>
      </c>
      <c r="FH48" s="42">
        <f>IF(DM48="","",IF(DU48&gt;0,DU48,FB48-SUM($FD$6:FD48)+SUM($DU$6:DU48)))</f>
        <v>2397000.0000000005</v>
      </c>
      <c r="FI48" s="42">
        <f>IF(DM48="","",FC48-SUM($FE$6:FE48)+SUM($DV$6:DV48)-SUM($DW$6:DW48))</f>
        <v>3799587.5</v>
      </c>
      <c r="FJ48" s="152">
        <f t="shared" si="231"/>
        <v>0.62705803481076705</v>
      </c>
      <c r="FN48" s="8"/>
      <c r="FO48" s="8"/>
      <c r="FP48" s="8"/>
      <c r="FQ48" s="8"/>
      <c r="FR48" s="8"/>
      <c r="FS48" s="8"/>
      <c r="FT48" s="8"/>
      <c r="FU48" s="8"/>
      <c r="GC48" s="68">
        <f t="shared" si="195"/>
        <v>43</v>
      </c>
      <c r="GD48" s="78">
        <f t="shared" si="196"/>
        <v>0</v>
      </c>
      <c r="GE48" s="309">
        <f t="shared" si="197"/>
        <v>0.620879866312956</v>
      </c>
      <c r="GF48" s="78">
        <f t="shared" si="198"/>
        <v>0</v>
      </c>
      <c r="GG48" s="310">
        <f t="shared" si="199"/>
        <v>0.58458920818160531</v>
      </c>
      <c r="GH48" s="78">
        <f t="shared" si="200"/>
        <v>0</v>
      </c>
      <c r="GI48" s="310">
        <f t="shared" si="201"/>
        <v>0.64166666666666672</v>
      </c>
      <c r="GJ48" s="311">
        <f t="shared" si="202"/>
        <v>0</v>
      </c>
      <c r="GK48" s="310">
        <f t="shared" si="203"/>
        <v>0.93878205128205061</v>
      </c>
      <c r="GL48" s="311">
        <f t="shared" si="204"/>
        <v>0</v>
      </c>
      <c r="GM48" s="310">
        <f t="shared" si="205"/>
        <v>0.61817846421102352</v>
      </c>
      <c r="HB48" s="22"/>
      <c r="HE48" s="9"/>
      <c r="IM48" s="13"/>
      <c r="IN48" s="13"/>
      <c r="IO48" s="13"/>
      <c r="IP48" s="13"/>
      <c r="IQ48" s="13"/>
    </row>
    <row r="49" spans="1:251" x14ac:dyDescent="0.2">
      <c r="A49" s="9"/>
      <c r="B49" s="423"/>
      <c r="C49" s="154" t="str">
        <f t="shared" si="180"/>
        <v/>
      </c>
      <c r="D49" s="154"/>
      <c r="E49" s="424"/>
      <c r="F49" s="424"/>
      <c r="G49" s="425" t="str">
        <f t="shared" si="172"/>
        <v/>
      </c>
      <c r="H49" s="425"/>
      <c r="I49" s="426" t="str">
        <f t="shared" si="173"/>
        <v/>
      </c>
      <c r="J49" s="425" t="str">
        <f t="shared" si="174"/>
        <v/>
      </c>
      <c r="K49" s="425" t="str">
        <f t="shared" si="175"/>
        <v/>
      </c>
      <c r="L49" s="425"/>
      <c r="M49" s="425" t="str">
        <f>IF(AND(NOT(C48=""),C49=""),SUM($M$28:M48),IF(C49="","",IF(HZ25="Engine",SUM(IE25:IF25),IE25)))</f>
        <v/>
      </c>
      <c r="N49" s="154"/>
      <c r="O49" s="156" t="str">
        <f>IF(OR(IC25="",ID25=""),"",ID25)</f>
        <v/>
      </c>
      <c r="Q49" s="427" t="str">
        <f>IF(AND(NOT(C48=""),C49=""),SUM($Q$28:Q48),IF(C49="","",IF(HZ25="Engine",IE25,"")))</f>
        <v/>
      </c>
      <c r="R49" s="154"/>
      <c r="S49" s="427" t="str">
        <f>IF(AND(NOT(C48=""),C49=""),SUM($S$28:S48),IF(C49="","",IF(HZ25="Engine",IF25,"")))</f>
        <v/>
      </c>
      <c r="U49" s="425" t="str">
        <f t="shared" si="177"/>
        <v/>
      </c>
      <c r="V49" s="425"/>
      <c r="W49" s="425" t="str">
        <f t="shared" si="178"/>
        <v/>
      </c>
      <c r="X49" s="428" t="str">
        <f>IF(AND(NOT(C48=""),C49=""),SUM($X$28:X48),IF(C49="","",IF(HZ25="Engine",-IG25,"")))</f>
        <v/>
      </c>
      <c r="Y49" s="429" t="str">
        <f t="shared" si="179"/>
        <v/>
      </c>
      <c r="Z49" s="26"/>
      <c r="AJ49" s="8"/>
      <c r="AK49" s="8"/>
      <c r="AL49" s="8"/>
      <c r="AM49" s="8"/>
      <c r="AN49" s="8"/>
      <c r="AO49" s="8"/>
      <c r="AP49" s="8"/>
      <c r="AQ49" s="7"/>
      <c r="AR49" s="7"/>
      <c r="AS49" s="7"/>
      <c r="AT49" s="7"/>
      <c r="AU49" s="7"/>
      <c r="AV49" s="7"/>
      <c r="AW49" s="7"/>
      <c r="AX49" s="7"/>
      <c r="AY49" s="7"/>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M49" s="44">
        <f t="shared" si="232"/>
        <v>43</v>
      </c>
      <c r="DN49" s="41">
        <f t="shared" si="206"/>
        <v>12272520</v>
      </c>
      <c r="DO49" s="41">
        <f t="shared" si="233"/>
        <v>122596.73076923078</v>
      </c>
      <c r="DP49" s="42">
        <f t="shared" si="207"/>
        <v>0</v>
      </c>
      <c r="DQ49" s="42">
        <f t="shared" si="208"/>
        <v>0</v>
      </c>
      <c r="DR49" s="42">
        <f t="shared" si="209"/>
        <v>0</v>
      </c>
      <c r="DS49" s="42">
        <f t="shared" si="210"/>
        <v>0</v>
      </c>
      <c r="DT49" s="42">
        <f t="shared" si="211"/>
        <v>0</v>
      </c>
      <c r="DU49" s="42">
        <f t="shared" si="212"/>
        <v>0</v>
      </c>
      <c r="DV49" s="42">
        <f t="shared" si="213"/>
        <v>0</v>
      </c>
      <c r="DW49" s="42">
        <f t="shared" si="214"/>
        <v>0</v>
      </c>
      <c r="DX49" s="42">
        <f t="shared" si="215"/>
        <v>4652759.4230769211</v>
      </c>
      <c r="DY49" s="42">
        <f>IF(DM49="",DY48,DN49-SUM($DO$6:DO49)+SUM($DP$6:DV49)-SUM($DW$6:DW49))</f>
        <v>7619760.5769230789</v>
      </c>
      <c r="DZ49" s="43">
        <f t="shared" si="234"/>
        <v>0.620879866312956</v>
      </c>
      <c r="EA49" s="43"/>
      <c r="EB49" s="43" t="str">
        <f t="shared" si="146"/>
        <v>True</v>
      </c>
      <c r="EC49" s="41">
        <f t="shared" si="132"/>
        <v>185400</v>
      </c>
      <c r="ED49" s="41">
        <f t="shared" si="133"/>
        <v>606690</v>
      </c>
      <c r="EE49" s="41">
        <f t="shared" si="216"/>
        <v>902280</v>
      </c>
      <c r="EF49" s="41">
        <f t="shared" si="235"/>
        <v>10300</v>
      </c>
      <c r="EG49" s="42">
        <f t="shared" si="236"/>
        <v>8426.25</v>
      </c>
      <c r="EH49" s="42">
        <f t="shared" si="237"/>
        <v>6265.8333333333321</v>
      </c>
      <c r="EI49" s="42">
        <f t="shared" si="217"/>
        <v>72100</v>
      </c>
      <c r="EJ49" s="42">
        <f t="shared" si="218"/>
        <v>362329</v>
      </c>
      <c r="EK49" s="42">
        <f t="shared" si="219"/>
        <v>269431</v>
      </c>
      <c r="EL49" s="42">
        <f>IF(DM49="","",EC49-SUM($EF$6:EF49)+SUM($DP$6:DP49))</f>
        <v>113300.00000000012</v>
      </c>
      <c r="EM49" s="42">
        <f>IF(DM49="","",ED49-SUM($EG$6:EG49)+SUM($DQ$6:DQ49))</f>
        <v>244361.25</v>
      </c>
      <c r="EN49" s="42">
        <f>IF(DM49="","",EE49-SUM($EH$6:EH49)+SUM($DR$6:DR49))</f>
        <v>632849.16666666651</v>
      </c>
      <c r="EO49" s="152">
        <f t="shared" si="220"/>
        <v>0.58458920818160531</v>
      </c>
      <c r="EP49" s="43"/>
      <c r="EQ49" s="42">
        <f t="shared" si="221"/>
        <v>448050</v>
      </c>
      <c r="ER49" s="42">
        <f t="shared" si="222"/>
        <v>248100</v>
      </c>
      <c r="ES49" s="42">
        <f t="shared" si="238"/>
        <v>3733.75</v>
      </c>
      <c r="ET49" s="42">
        <f t="shared" si="239"/>
        <v>6122.9807692307695</v>
      </c>
      <c r="EU49" s="42">
        <f t="shared" si="223"/>
        <v>160551</v>
      </c>
      <c r="EV49" s="42">
        <f t="shared" si="224"/>
        <v>15188</v>
      </c>
      <c r="EW49" s="42">
        <f>IF(DM49="","",IF(DS49&gt;0,DS49,EQ49-SUM($ES$6:ES49)+SUM($DS$6:DS49)))</f>
        <v>287498.75</v>
      </c>
      <c r="EX49" s="42">
        <f>IF(DM49="","",IF(DT49&gt;0,DT49,ER49-SUM($ET$6:ET49)+SUM($DT$6:DT49)))</f>
        <v>232911.82692307676</v>
      </c>
      <c r="EY49" s="43">
        <f t="shared" si="225"/>
        <v>0.93878205128205061</v>
      </c>
      <c r="EZ49" s="43">
        <f t="shared" si="226"/>
        <v>0.64166666666666672</v>
      </c>
      <c r="FA49" s="43"/>
      <c r="FB49" s="42">
        <f t="shared" si="227"/>
        <v>4700000</v>
      </c>
      <c r="FC49" s="42">
        <f t="shared" si="228"/>
        <v>5182000</v>
      </c>
      <c r="FD49" s="41">
        <f t="shared" si="240"/>
        <v>54833.333333333336</v>
      </c>
      <c r="FE49" s="41">
        <f t="shared" si="241"/>
        <v>32914.583333333336</v>
      </c>
      <c r="FF49" s="42">
        <f t="shared" si="229"/>
        <v>2357833</v>
      </c>
      <c r="FG49" s="42">
        <f t="shared" si="230"/>
        <v>1415327</v>
      </c>
      <c r="FH49" s="42">
        <f>IF(DM49="","",IF(DU49&gt;0,DU49,FB49-SUM($FD$6:FD49)+SUM($DU$6:DU49)))</f>
        <v>2342166.666666667</v>
      </c>
      <c r="FI49" s="42">
        <f>IF(DM49="","",FC49-SUM($FE$6:FE49)+SUM($DV$6:DV49)-SUM($DW$6:DW49))</f>
        <v>3766672.916666667</v>
      </c>
      <c r="FJ49" s="152">
        <f t="shared" si="231"/>
        <v>0.61817846421102352</v>
      </c>
      <c r="FN49" s="8"/>
      <c r="FO49" s="8"/>
      <c r="FP49" s="8"/>
      <c r="FQ49" s="8"/>
      <c r="FR49" s="8"/>
      <c r="FS49" s="8"/>
      <c r="FT49" s="8"/>
      <c r="FU49" s="8"/>
      <c r="GC49" s="68">
        <f t="shared" si="195"/>
        <v>44</v>
      </c>
      <c r="GD49" s="78">
        <f t="shared" si="196"/>
        <v>0</v>
      </c>
      <c r="GE49" s="309">
        <f t="shared" si="197"/>
        <v>0.61089033435299744</v>
      </c>
      <c r="GF49" s="78">
        <f t="shared" si="198"/>
        <v>0</v>
      </c>
      <c r="GG49" s="310">
        <f t="shared" si="199"/>
        <v>0.56983913391604746</v>
      </c>
      <c r="GH49" s="78">
        <f t="shared" si="200"/>
        <v>0</v>
      </c>
      <c r="GI49" s="310">
        <f t="shared" si="201"/>
        <v>0.6333333333333333</v>
      </c>
      <c r="GJ49" s="311">
        <f t="shared" si="202"/>
        <v>0</v>
      </c>
      <c r="GK49" s="310">
        <f t="shared" si="203"/>
        <v>0.91410256410256352</v>
      </c>
      <c r="GL49" s="311">
        <f t="shared" si="204"/>
        <v>0</v>
      </c>
      <c r="GM49" s="310">
        <f t="shared" si="205"/>
        <v>0.60929889361127987</v>
      </c>
      <c r="HB49" s="22"/>
      <c r="HE49" s="9"/>
      <c r="IM49" s="13"/>
      <c r="IN49" s="13"/>
      <c r="IO49" s="13"/>
      <c r="IP49" s="13"/>
      <c r="IQ49" s="13"/>
    </row>
    <row r="50" spans="1:251" x14ac:dyDescent="0.2">
      <c r="A50" s="9"/>
      <c r="B50" s="423"/>
      <c r="C50" s="154" t="str">
        <f t="shared" si="180"/>
        <v/>
      </c>
      <c r="D50" s="154"/>
      <c r="E50" s="424"/>
      <c r="F50" s="424"/>
      <c r="G50" s="425" t="str">
        <f t="shared" si="172"/>
        <v/>
      </c>
      <c r="H50" s="425"/>
      <c r="I50" s="426" t="str">
        <f t="shared" si="173"/>
        <v/>
      </c>
      <c r="J50" s="425" t="str">
        <f t="shared" si="174"/>
        <v/>
      </c>
      <c r="K50" s="425" t="str">
        <f t="shared" si="175"/>
        <v/>
      </c>
      <c r="L50" s="425"/>
      <c r="M50" s="425" t="str">
        <f>IF(AND(NOT(C49=""),C50=""),SUM($M$28:M49),IF(C50="","",IF(HZ26="Engine",SUM(IE26:IF26),IE26)))</f>
        <v/>
      </c>
      <c r="N50" s="154"/>
      <c r="O50" s="156" t="str">
        <f t="shared" si="176"/>
        <v/>
      </c>
      <c r="Q50" s="427" t="str">
        <f>IF(AND(NOT(C49=""),C50=""),SUM($Q$28:Q49),IF(C50="","",IF(HZ26="Engine",IE26,"")))</f>
        <v/>
      </c>
      <c r="R50" s="154"/>
      <c r="S50" s="427" t="str">
        <f>IF(AND(NOT(C49=""),C50=""),SUM($S$28:S49),IF(C50="","",IF(HZ26="Engine",IF26,"")))</f>
        <v/>
      </c>
      <c r="U50" s="425" t="str">
        <f t="shared" si="177"/>
        <v/>
      </c>
      <c r="V50" s="425"/>
      <c r="W50" s="425" t="str">
        <f t="shared" si="178"/>
        <v/>
      </c>
      <c r="X50" s="428" t="str">
        <f>IF(AND(NOT(C49=""),C50=""),SUM($X$28:X49),IF(C50="","",IF(HZ26="Engine",-IG26,"")))</f>
        <v/>
      </c>
      <c r="Y50" s="429" t="str">
        <f t="shared" si="179"/>
        <v/>
      </c>
      <c r="Z50" s="26"/>
      <c r="AH50" s="28"/>
      <c r="AI50" s="28"/>
      <c r="AJ50" s="28"/>
      <c r="AK50" s="28"/>
      <c r="AL50" s="33"/>
      <c r="AM50" s="34"/>
      <c r="AN50" s="33"/>
      <c r="AO50" s="33"/>
      <c r="AP50" s="33"/>
      <c r="AQ50" s="7"/>
      <c r="AR50" s="7"/>
      <c r="AS50" s="7"/>
      <c r="AT50" s="7"/>
      <c r="AU50" s="7"/>
      <c r="AV50" s="7"/>
      <c r="AW50" s="7"/>
      <c r="AX50" s="7"/>
      <c r="AY50" s="7"/>
      <c r="AZ50" s="23"/>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M50" s="44">
        <f t="shared" si="232"/>
        <v>44</v>
      </c>
      <c r="DN50" s="41">
        <f t="shared" si="206"/>
        <v>12272520</v>
      </c>
      <c r="DO50" s="41">
        <f t="shared" si="233"/>
        <v>122596.73076923078</v>
      </c>
      <c r="DP50" s="42">
        <f t="shared" si="207"/>
        <v>0</v>
      </c>
      <c r="DQ50" s="42">
        <f t="shared" si="208"/>
        <v>0</v>
      </c>
      <c r="DR50" s="42">
        <f t="shared" si="209"/>
        <v>0</v>
      </c>
      <c r="DS50" s="42">
        <f t="shared" si="210"/>
        <v>0</v>
      </c>
      <c r="DT50" s="42">
        <f t="shared" si="211"/>
        <v>0</v>
      </c>
      <c r="DU50" s="42">
        <f t="shared" si="212"/>
        <v>0</v>
      </c>
      <c r="DV50" s="42">
        <f t="shared" si="213"/>
        <v>0</v>
      </c>
      <c r="DW50" s="42">
        <f t="shared" si="214"/>
        <v>0</v>
      </c>
      <c r="DX50" s="42">
        <f t="shared" si="215"/>
        <v>4775356.1538461521</v>
      </c>
      <c r="DY50" s="42">
        <f>IF(DM50="",DY49,DN50-SUM($DO$6:DO50)+SUM($DP$6:DV50)-SUM($DW$6:DW50))</f>
        <v>7497163.8461538479</v>
      </c>
      <c r="DZ50" s="43">
        <f t="shared" si="234"/>
        <v>0.61089033435299744</v>
      </c>
      <c r="EA50" s="43"/>
      <c r="EB50" s="43" t="str">
        <f t="shared" si="146"/>
        <v>True</v>
      </c>
      <c r="EC50" s="41">
        <f t="shared" si="132"/>
        <v>185400</v>
      </c>
      <c r="ED50" s="41">
        <f t="shared" si="133"/>
        <v>606690</v>
      </c>
      <c r="EE50" s="41">
        <f t="shared" si="216"/>
        <v>902280</v>
      </c>
      <c r="EF50" s="41">
        <f t="shared" si="235"/>
        <v>10300</v>
      </c>
      <c r="EG50" s="42">
        <f t="shared" si="236"/>
        <v>8426.25</v>
      </c>
      <c r="EH50" s="42">
        <f t="shared" si="237"/>
        <v>6265.8333333333321</v>
      </c>
      <c r="EI50" s="42">
        <f t="shared" si="217"/>
        <v>82400</v>
      </c>
      <c r="EJ50" s="42">
        <f t="shared" si="218"/>
        <v>370755</v>
      </c>
      <c r="EK50" s="42">
        <f t="shared" si="219"/>
        <v>275697</v>
      </c>
      <c r="EL50" s="42">
        <f>IF(DM50="","",EC50-SUM($EF$6:EF50)+SUM($DP$6:DP50))</f>
        <v>103000.00000000012</v>
      </c>
      <c r="EM50" s="42">
        <f>IF(DM50="","",ED50-SUM($EG$6:EG50)+SUM($DQ$6:DQ50))</f>
        <v>235935</v>
      </c>
      <c r="EN50" s="42">
        <f>IF(DM50="","",EE50-SUM($EH$6:EH50)+SUM($DR$6:DR50))</f>
        <v>626583.33333333326</v>
      </c>
      <c r="EO50" s="152">
        <f t="shared" si="220"/>
        <v>0.56983913391604746</v>
      </c>
      <c r="EP50" s="43"/>
      <c r="EQ50" s="42">
        <f t="shared" si="221"/>
        <v>448050</v>
      </c>
      <c r="ER50" s="42">
        <f t="shared" si="222"/>
        <v>248100</v>
      </c>
      <c r="ES50" s="42">
        <f t="shared" si="238"/>
        <v>3733.75</v>
      </c>
      <c r="ET50" s="42">
        <f t="shared" si="239"/>
        <v>6122.9807692307695</v>
      </c>
      <c r="EU50" s="42">
        <f t="shared" si="223"/>
        <v>164285</v>
      </c>
      <c r="EV50" s="42">
        <f t="shared" si="224"/>
        <v>21311</v>
      </c>
      <c r="EW50" s="42">
        <f>IF(DM50="","",IF(DS50&gt;0,DS50,EQ50-SUM($ES$6:ES50)+SUM($DS$6:DS50)))</f>
        <v>283765</v>
      </c>
      <c r="EX50" s="42">
        <f>IF(DM50="","",IF(DT50&gt;0,DT50,ER50-SUM($ET$6:ET50)+SUM($DT$6:DT50)))</f>
        <v>226788.84615384601</v>
      </c>
      <c r="EY50" s="43">
        <f t="shared" si="225"/>
        <v>0.91410256410256352</v>
      </c>
      <c r="EZ50" s="43">
        <f t="shared" si="226"/>
        <v>0.6333333333333333</v>
      </c>
      <c r="FA50" s="43"/>
      <c r="FB50" s="42">
        <f t="shared" si="227"/>
        <v>4700000</v>
      </c>
      <c r="FC50" s="42">
        <f t="shared" si="228"/>
        <v>5182000</v>
      </c>
      <c r="FD50" s="41">
        <f t="shared" si="240"/>
        <v>54833.333333333336</v>
      </c>
      <c r="FE50" s="41">
        <f t="shared" si="241"/>
        <v>32914.583333333336</v>
      </c>
      <c r="FF50" s="42">
        <f t="shared" si="229"/>
        <v>2412667</v>
      </c>
      <c r="FG50" s="42">
        <f t="shared" si="230"/>
        <v>1448242</v>
      </c>
      <c r="FH50" s="42">
        <f>IF(DM50="","",IF(DU50&gt;0,DU50,FB50-SUM($FD$6:FD50)+SUM($DU$6:DU50)))</f>
        <v>2287333.3333333335</v>
      </c>
      <c r="FI50" s="42">
        <f>IF(DM50="","",FC50-SUM($FE$6:FE50)+SUM($DV$6:DV50)-SUM($DW$6:DW50))</f>
        <v>3733758.333333334</v>
      </c>
      <c r="FJ50" s="152">
        <f t="shared" si="231"/>
        <v>0.60929889361127987</v>
      </c>
      <c r="FN50" s="8"/>
      <c r="FO50" s="8"/>
      <c r="FP50" s="8"/>
      <c r="FQ50" s="8"/>
      <c r="FR50" s="8"/>
      <c r="FS50" s="8"/>
      <c r="FT50" s="8"/>
      <c r="FU50" s="8"/>
      <c r="GC50" s="68">
        <f t="shared" si="195"/>
        <v>45</v>
      </c>
      <c r="GD50" s="78">
        <f t="shared" si="196"/>
        <v>0</v>
      </c>
      <c r="GE50" s="309">
        <f t="shared" si="197"/>
        <v>0.60090080239303878</v>
      </c>
      <c r="GF50" s="78">
        <f t="shared" si="198"/>
        <v>0</v>
      </c>
      <c r="GG50" s="310">
        <f t="shared" si="199"/>
        <v>0.5550890596504896</v>
      </c>
      <c r="GH50" s="78">
        <f t="shared" si="200"/>
        <v>0</v>
      </c>
      <c r="GI50" s="310">
        <f t="shared" si="201"/>
        <v>0.625</v>
      </c>
      <c r="GJ50" s="311">
        <f t="shared" si="202"/>
        <v>0</v>
      </c>
      <c r="GK50" s="310">
        <f t="shared" si="203"/>
        <v>0.88942307692307643</v>
      </c>
      <c r="GL50" s="311">
        <f t="shared" si="204"/>
        <v>0</v>
      </c>
      <c r="GM50" s="310">
        <f t="shared" si="205"/>
        <v>0.60041932301153611</v>
      </c>
      <c r="HB50" s="22"/>
      <c r="HE50" s="9"/>
      <c r="IM50" s="13"/>
      <c r="IN50" s="13"/>
      <c r="IO50" s="13"/>
      <c r="IP50" s="13"/>
      <c r="IQ50" s="13"/>
    </row>
    <row r="51" spans="1:251" x14ac:dyDescent="0.2">
      <c r="A51" s="9"/>
      <c r="B51" s="423"/>
      <c r="C51" s="154" t="str">
        <f t="shared" si="180"/>
        <v/>
      </c>
      <c r="D51" s="154"/>
      <c r="E51" s="424"/>
      <c r="F51" s="424"/>
      <c r="G51" s="425" t="str">
        <f t="shared" si="172"/>
        <v/>
      </c>
      <c r="H51" s="425"/>
      <c r="I51" s="426" t="str">
        <f t="shared" si="173"/>
        <v/>
      </c>
      <c r="J51" s="425" t="str">
        <f t="shared" si="174"/>
        <v/>
      </c>
      <c r="K51" s="425" t="str">
        <f t="shared" si="175"/>
        <v/>
      </c>
      <c r="L51" s="425"/>
      <c r="M51" s="425" t="str">
        <f>IF(AND(NOT(C50=""),C51=""),SUM($M$28:M50),IF(C51="","",IF(HZ27="Engine",SUM(IE27:IF27),IE27)))</f>
        <v/>
      </c>
      <c r="N51" s="154"/>
      <c r="O51" s="156" t="str">
        <f t="shared" si="176"/>
        <v/>
      </c>
      <c r="Q51" s="427" t="str">
        <f>IF(AND(NOT(C50=""),C51=""),SUM($Q$28:Q50),IF(C51="","",IF(HZ27="Engine",IE27,"")))</f>
        <v/>
      </c>
      <c r="R51" s="154"/>
      <c r="S51" s="427" t="str">
        <f>IF(AND(NOT(C50=""),C51=""),SUM($S$28:S50),IF(C51="","",IF(HZ27="Engine",IF27,"")))</f>
        <v/>
      </c>
      <c r="U51" s="425" t="str">
        <f t="shared" si="177"/>
        <v/>
      </c>
      <c r="V51" s="425"/>
      <c r="W51" s="425" t="str">
        <f t="shared" si="178"/>
        <v/>
      </c>
      <c r="X51" s="428" t="str">
        <f>IF(AND(NOT(C50=""),C51=""),SUM($X$28:X50),IF(C51="","",IF(HZ27="Engine",-IG27,"")))</f>
        <v/>
      </c>
      <c r="Y51" s="429" t="str">
        <f t="shared" si="179"/>
        <v/>
      </c>
      <c r="Z51" s="26"/>
      <c r="AB51" s="9"/>
      <c r="AH51" s="28"/>
      <c r="AI51" s="28"/>
      <c r="AJ51" s="28"/>
      <c r="AK51" s="28"/>
      <c r="AL51" s="33"/>
      <c r="AM51" s="34"/>
      <c r="AN51" s="33"/>
      <c r="AO51" s="33"/>
      <c r="AP51" s="33"/>
      <c r="AQ51" s="7"/>
      <c r="AR51" s="7"/>
      <c r="AS51" s="7"/>
      <c r="AT51" s="7"/>
      <c r="AU51" s="7"/>
      <c r="AV51" s="7"/>
      <c r="AW51" s="7"/>
      <c r="AX51" s="7"/>
      <c r="AY51" s="7"/>
      <c r="AZ51" s="23"/>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M51" s="44">
        <f t="shared" si="232"/>
        <v>45</v>
      </c>
      <c r="DN51" s="41">
        <f t="shared" si="206"/>
        <v>12272520</v>
      </c>
      <c r="DO51" s="41">
        <f t="shared" si="233"/>
        <v>122596.73076923078</v>
      </c>
      <c r="DP51" s="42">
        <f t="shared" si="207"/>
        <v>0</v>
      </c>
      <c r="DQ51" s="42">
        <f t="shared" si="208"/>
        <v>0</v>
      </c>
      <c r="DR51" s="42">
        <f t="shared" si="209"/>
        <v>0</v>
      </c>
      <c r="DS51" s="42">
        <f t="shared" si="210"/>
        <v>0</v>
      </c>
      <c r="DT51" s="42">
        <f t="shared" si="211"/>
        <v>0</v>
      </c>
      <c r="DU51" s="42">
        <f t="shared" si="212"/>
        <v>0</v>
      </c>
      <c r="DV51" s="42">
        <f t="shared" si="213"/>
        <v>0</v>
      </c>
      <c r="DW51" s="42">
        <f t="shared" si="214"/>
        <v>0</v>
      </c>
      <c r="DX51" s="42">
        <f t="shared" si="215"/>
        <v>4897952.8846153831</v>
      </c>
      <c r="DY51" s="42">
        <f>IF(DM51="",DY50,DN51-SUM($DO$6:DO51)+SUM($DP$6:DV51)-SUM($DW$6:DW51))</f>
        <v>7374567.1153846169</v>
      </c>
      <c r="DZ51" s="43">
        <f t="shared" si="234"/>
        <v>0.60090080239303878</v>
      </c>
      <c r="EA51" s="43"/>
      <c r="EB51" s="43" t="str">
        <f t="shared" si="146"/>
        <v>True</v>
      </c>
      <c r="EC51" s="41">
        <f t="shared" si="132"/>
        <v>185400</v>
      </c>
      <c r="ED51" s="41">
        <f t="shared" si="133"/>
        <v>606690</v>
      </c>
      <c r="EE51" s="41">
        <f t="shared" si="216"/>
        <v>902280</v>
      </c>
      <c r="EF51" s="41">
        <f t="shared" si="235"/>
        <v>10300</v>
      </c>
      <c r="EG51" s="42">
        <f t="shared" si="236"/>
        <v>8426.25</v>
      </c>
      <c r="EH51" s="42">
        <f t="shared" si="237"/>
        <v>6265.8333333333321</v>
      </c>
      <c r="EI51" s="42">
        <f t="shared" si="217"/>
        <v>92700</v>
      </c>
      <c r="EJ51" s="42">
        <f t="shared" si="218"/>
        <v>379181</v>
      </c>
      <c r="EK51" s="42">
        <f t="shared" si="219"/>
        <v>281963</v>
      </c>
      <c r="EL51" s="42">
        <f>IF(DM51="","",EC51-SUM($EF$6:EF51)+SUM($DP$6:DP51))</f>
        <v>92700.000000000116</v>
      </c>
      <c r="EM51" s="42">
        <f>IF(DM51="","",ED51-SUM($EG$6:EG51)+SUM($DQ$6:DQ51))</f>
        <v>227508.75</v>
      </c>
      <c r="EN51" s="42">
        <f>IF(DM51="","",EE51-SUM($EH$6:EH51)+SUM($DR$6:DR51))</f>
        <v>620317.5</v>
      </c>
      <c r="EO51" s="152">
        <f t="shared" si="220"/>
        <v>0.5550890596504896</v>
      </c>
      <c r="EP51" s="43"/>
      <c r="EQ51" s="42">
        <f t="shared" si="221"/>
        <v>448050</v>
      </c>
      <c r="ER51" s="42">
        <f t="shared" si="222"/>
        <v>248100</v>
      </c>
      <c r="ES51" s="42">
        <f t="shared" si="238"/>
        <v>3733.75</v>
      </c>
      <c r="ET51" s="42">
        <f t="shared" si="239"/>
        <v>6122.9807692307695</v>
      </c>
      <c r="EU51" s="42">
        <f t="shared" si="223"/>
        <v>168019</v>
      </c>
      <c r="EV51" s="42">
        <f t="shared" si="224"/>
        <v>27434</v>
      </c>
      <c r="EW51" s="42">
        <f>IF(DM51="","",IF(DS51&gt;0,DS51,EQ51-SUM($ES$6:ES51)+SUM($DS$6:DS51)))</f>
        <v>280031.25</v>
      </c>
      <c r="EX51" s="42">
        <f>IF(DM51="","",IF(DT51&gt;0,DT51,ER51-SUM($ET$6:ET51)+SUM($DT$6:DT51)))</f>
        <v>220665.86538461526</v>
      </c>
      <c r="EY51" s="43">
        <f t="shared" si="225"/>
        <v>0.88942307692307643</v>
      </c>
      <c r="EZ51" s="43">
        <f t="shared" si="226"/>
        <v>0.625</v>
      </c>
      <c r="FA51" s="43"/>
      <c r="FB51" s="42">
        <f t="shared" si="227"/>
        <v>4700000</v>
      </c>
      <c r="FC51" s="42">
        <f t="shared" si="228"/>
        <v>5182000</v>
      </c>
      <c r="FD51" s="41">
        <f t="shared" si="240"/>
        <v>54833.333333333336</v>
      </c>
      <c r="FE51" s="41">
        <f t="shared" si="241"/>
        <v>32914.583333333336</v>
      </c>
      <c r="FF51" s="42">
        <f t="shared" si="229"/>
        <v>2467500</v>
      </c>
      <c r="FG51" s="42">
        <f t="shared" si="230"/>
        <v>1481156</v>
      </c>
      <c r="FH51" s="42">
        <f>IF(DM51="","",IF(DU51&gt;0,DU51,FB51-SUM($FD$6:FD51)+SUM($DU$6:DU51)))</f>
        <v>2232500</v>
      </c>
      <c r="FI51" s="42">
        <f>IF(DM51="","",FC51-SUM($FE$6:FE51)+SUM($DV$6:DV51)-SUM($DW$6:DW51))</f>
        <v>3700843.7500000005</v>
      </c>
      <c r="FJ51" s="152">
        <f t="shared" si="231"/>
        <v>0.60041932301153611</v>
      </c>
      <c r="FN51" s="8"/>
      <c r="FO51" s="8"/>
      <c r="FP51" s="8"/>
      <c r="FQ51" s="8"/>
      <c r="FR51" s="8"/>
      <c r="FS51" s="8"/>
      <c r="FT51" s="8"/>
      <c r="FU51" s="8"/>
      <c r="GC51" s="68">
        <f t="shared" si="195"/>
        <v>46</v>
      </c>
      <c r="GD51" s="78">
        <f t="shared" si="196"/>
        <v>0</v>
      </c>
      <c r="GE51" s="309">
        <f t="shared" si="197"/>
        <v>0.59091127043308023</v>
      </c>
      <c r="GF51" s="78">
        <f t="shared" si="198"/>
        <v>0</v>
      </c>
      <c r="GG51" s="310">
        <f t="shared" si="199"/>
        <v>0.54033898538493175</v>
      </c>
      <c r="GH51" s="78">
        <f t="shared" si="200"/>
        <v>0</v>
      </c>
      <c r="GI51" s="310">
        <f t="shared" si="201"/>
        <v>0.6166666666666667</v>
      </c>
      <c r="GJ51" s="311">
        <f t="shared" si="202"/>
        <v>0</v>
      </c>
      <c r="GK51" s="310">
        <f t="shared" si="203"/>
        <v>0.86474358974358934</v>
      </c>
      <c r="GL51" s="311">
        <f t="shared" si="204"/>
        <v>0</v>
      </c>
      <c r="GM51" s="310">
        <f t="shared" si="205"/>
        <v>0.59153975241179257</v>
      </c>
      <c r="HB51" s="22"/>
      <c r="HE51" s="9"/>
      <c r="IM51" s="13"/>
      <c r="IN51" s="13"/>
      <c r="IO51" s="13"/>
      <c r="IP51" s="13"/>
      <c r="IQ51" s="13"/>
    </row>
    <row r="52" spans="1:251" x14ac:dyDescent="0.2">
      <c r="A52" s="9"/>
      <c r="B52" s="423"/>
      <c r="C52" s="154" t="str">
        <f t="shared" si="180"/>
        <v/>
      </c>
      <c r="D52" s="154"/>
      <c r="E52" s="424"/>
      <c r="F52" s="424"/>
      <c r="G52" s="425" t="str">
        <f t="shared" si="172"/>
        <v/>
      </c>
      <c r="H52" s="425"/>
      <c r="I52" s="426" t="str">
        <f t="shared" si="173"/>
        <v/>
      </c>
      <c r="J52" s="425" t="str">
        <f t="shared" si="174"/>
        <v/>
      </c>
      <c r="K52" s="425" t="str">
        <f t="shared" si="175"/>
        <v/>
      </c>
      <c r="L52" s="425"/>
      <c r="M52" s="425" t="str">
        <f>IF(AND(NOT(C51=""),C52=""),SUM($M$28:M51),IF(C52="","",IF(HZ28="Engine",SUM(IE28:IF28),IE28)))</f>
        <v/>
      </c>
      <c r="N52" s="154"/>
      <c r="O52" s="156" t="str">
        <f t="shared" si="176"/>
        <v/>
      </c>
      <c r="Q52" s="427" t="str">
        <f>IF(AND(NOT(C51=""),C52=""),SUM($Q$28:Q51),IF(C52="","",IF(HZ28="Engine",IE28,"")))</f>
        <v/>
      </c>
      <c r="R52" s="154"/>
      <c r="S52" s="427" t="str">
        <f>IF(AND(NOT(C51=""),C52=""),SUM($S$28:S51),IF(C52="","",IF(HZ28="Engine",IF28,"")))</f>
        <v/>
      </c>
      <c r="U52" s="425" t="str">
        <f t="shared" si="177"/>
        <v/>
      </c>
      <c r="V52" s="425"/>
      <c r="W52" s="425" t="str">
        <f t="shared" si="178"/>
        <v/>
      </c>
      <c r="X52" s="428" t="str">
        <f>IF(AND(NOT(C51=""),C52=""),SUM($X$28:X51),IF(C52="","",IF(HZ28="Engine",-IG28,"")))</f>
        <v/>
      </c>
      <c r="Y52" s="429" t="str">
        <f t="shared" si="179"/>
        <v/>
      </c>
      <c r="Z52" s="26"/>
      <c r="AB52" s="9"/>
      <c r="AH52" s="28"/>
      <c r="AI52" s="28"/>
      <c r="AJ52" s="28"/>
      <c r="AK52" s="28"/>
      <c r="AL52" s="33"/>
      <c r="AM52" s="34"/>
      <c r="AN52" s="33"/>
      <c r="AO52" s="33"/>
      <c r="AP52" s="33"/>
      <c r="AQ52" s="7"/>
      <c r="AR52" s="7"/>
      <c r="AS52" s="7"/>
      <c r="AT52" s="7"/>
      <c r="AU52" s="7"/>
      <c r="AV52" s="7"/>
      <c r="AW52" s="7"/>
      <c r="AX52" s="7"/>
      <c r="AY52" s="7"/>
      <c r="AZ52" s="23"/>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M52" s="44">
        <f t="shared" si="232"/>
        <v>46</v>
      </c>
      <c r="DN52" s="41">
        <f t="shared" si="206"/>
        <v>12272520</v>
      </c>
      <c r="DO52" s="41">
        <f t="shared" si="233"/>
        <v>122596.73076923078</v>
      </c>
      <c r="DP52" s="42">
        <f t="shared" si="207"/>
        <v>0</v>
      </c>
      <c r="DQ52" s="42">
        <f t="shared" si="208"/>
        <v>0</v>
      </c>
      <c r="DR52" s="42">
        <f t="shared" si="209"/>
        <v>0</v>
      </c>
      <c r="DS52" s="42">
        <f t="shared" si="210"/>
        <v>0</v>
      </c>
      <c r="DT52" s="42">
        <f t="shared" si="211"/>
        <v>0</v>
      </c>
      <c r="DU52" s="42">
        <f t="shared" si="212"/>
        <v>0</v>
      </c>
      <c r="DV52" s="42">
        <f t="shared" si="213"/>
        <v>0</v>
      </c>
      <c r="DW52" s="42">
        <f t="shared" si="214"/>
        <v>0</v>
      </c>
      <c r="DX52" s="42">
        <f t="shared" si="215"/>
        <v>5020549.6153846141</v>
      </c>
      <c r="DY52" s="42">
        <f>IF(DM52="",DY51,DN52-SUM($DO$6:DO52)+SUM($DP$6:DV52)-SUM($DW$6:DW52))</f>
        <v>7251970.3846153859</v>
      </c>
      <c r="DZ52" s="43">
        <f t="shared" si="234"/>
        <v>0.59091127043308023</v>
      </c>
      <c r="EA52" s="43"/>
      <c r="EB52" s="43" t="str">
        <f t="shared" si="146"/>
        <v>True</v>
      </c>
      <c r="EC52" s="41">
        <f t="shared" si="132"/>
        <v>185400</v>
      </c>
      <c r="ED52" s="41">
        <f t="shared" si="133"/>
        <v>606690</v>
      </c>
      <c r="EE52" s="41">
        <f t="shared" si="216"/>
        <v>902280</v>
      </c>
      <c r="EF52" s="41">
        <f t="shared" si="235"/>
        <v>10300</v>
      </c>
      <c r="EG52" s="42">
        <f t="shared" si="236"/>
        <v>8426.25</v>
      </c>
      <c r="EH52" s="42">
        <f t="shared" si="237"/>
        <v>6265.8333333333321</v>
      </c>
      <c r="EI52" s="42">
        <f t="shared" si="217"/>
        <v>103000</v>
      </c>
      <c r="EJ52" s="42">
        <f t="shared" si="218"/>
        <v>387608</v>
      </c>
      <c r="EK52" s="42">
        <f t="shared" si="219"/>
        <v>288228</v>
      </c>
      <c r="EL52" s="42">
        <f>IF(DM52="","",EC52-SUM($EF$6:EF52)+SUM($DP$6:DP52))</f>
        <v>82400.000000000116</v>
      </c>
      <c r="EM52" s="42">
        <f>IF(DM52="","",ED52-SUM($EG$6:EG52)+SUM($DQ$6:DQ52))</f>
        <v>219082.5</v>
      </c>
      <c r="EN52" s="42">
        <f>IF(DM52="","",EE52-SUM($EH$6:EH52)+SUM($DR$6:DR52))</f>
        <v>614051.66666666663</v>
      </c>
      <c r="EO52" s="152">
        <f t="shared" si="220"/>
        <v>0.54033898538493175</v>
      </c>
      <c r="EP52" s="43"/>
      <c r="EQ52" s="42">
        <f t="shared" si="221"/>
        <v>448050</v>
      </c>
      <c r="ER52" s="42">
        <f t="shared" si="222"/>
        <v>248100</v>
      </c>
      <c r="ES52" s="42">
        <f t="shared" si="238"/>
        <v>3733.75</v>
      </c>
      <c r="ET52" s="42">
        <f t="shared" si="239"/>
        <v>6122.9807692307695</v>
      </c>
      <c r="EU52" s="42">
        <f t="shared" si="223"/>
        <v>171753</v>
      </c>
      <c r="EV52" s="42">
        <f t="shared" si="224"/>
        <v>33557</v>
      </c>
      <c r="EW52" s="42">
        <f>IF(DM52="","",IF(DS52&gt;0,DS52,EQ52-SUM($ES$6:ES52)+SUM($DS$6:DS52)))</f>
        <v>276297.5</v>
      </c>
      <c r="EX52" s="42">
        <f>IF(DM52="","",IF(DT52&gt;0,DT52,ER52-SUM($ET$6:ET52)+SUM($DT$6:DT52)))</f>
        <v>214542.88461538451</v>
      </c>
      <c r="EY52" s="43">
        <f t="shared" si="225"/>
        <v>0.86474358974358934</v>
      </c>
      <c r="EZ52" s="43">
        <f t="shared" si="226"/>
        <v>0.6166666666666667</v>
      </c>
      <c r="FA52" s="43"/>
      <c r="FB52" s="42">
        <f t="shared" si="227"/>
        <v>4700000</v>
      </c>
      <c r="FC52" s="42">
        <f t="shared" si="228"/>
        <v>5182000</v>
      </c>
      <c r="FD52" s="41">
        <f t="shared" si="240"/>
        <v>54833.333333333336</v>
      </c>
      <c r="FE52" s="41">
        <f t="shared" si="241"/>
        <v>32914.583333333336</v>
      </c>
      <c r="FF52" s="42">
        <f t="shared" si="229"/>
        <v>2522333</v>
      </c>
      <c r="FG52" s="42">
        <f t="shared" si="230"/>
        <v>1514071</v>
      </c>
      <c r="FH52" s="42">
        <f>IF(DM52="","",IF(DU52&gt;0,DU52,FB52-SUM($FD$6:FD52)+SUM($DU$6:DU52)))</f>
        <v>2177666.6666666665</v>
      </c>
      <c r="FI52" s="42">
        <f>IF(DM52="","",FC52-SUM($FE$6:FE52)+SUM($DV$6:DV52)-SUM($DW$6:DW52))</f>
        <v>3667929.166666667</v>
      </c>
      <c r="FJ52" s="152">
        <f t="shared" si="231"/>
        <v>0.59153975241179257</v>
      </c>
      <c r="FN52" s="8"/>
      <c r="FO52" s="8"/>
      <c r="FP52" s="8"/>
      <c r="FQ52" s="8"/>
      <c r="FR52" s="8"/>
      <c r="FS52" s="8"/>
      <c r="FT52" s="8"/>
      <c r="FU52" s="8"/>
      <c r="GC52" s="68">
        <f t="shared" si="195"/>
        <v>47</v>
      </c>
      <c r="GD52" s="78">
        <f t="shared" si="196"/>
        <v>0</v>
      </c>
      <c r="GE52" s="309">
        <f t="shared" si="197"/>
        <v>0.58092173847312167</v>
      </c>
      <c r="GF52" s="78">
        <f t="shared" si="198"/>
        <v>0</v>
      </c>
      <c r="GG52" s="310">
        <f t="shared" si="199"/>
        <v>0.52558891111937378</v>
      </c>
      <c r="GH52" s="78">
        <f t="shared" si="200"/>
        <v>0</v>
      </c>
      <c r="GI52" s="310">
        <f t="shared" si="201"/>
        <v>0.60833333333333328</v>
      </c>
      <c r="GJ52" s="311">
        <f t="shared" si="202"/>
        <v>0</v>
      </c>
      <c r="GK52" s="310">
        <f t="shared" si="203"/>
        <v>0.84006410256410224</v>
      </c>
      <c r="GL52" s="311">
        <f t="shared" si="204"/>
        <v>0</v>
      </c>
      <c r="GM52" s="310">
        <f t="shared" si="205"/>
        <v>0.58266018181204893</v>
      </c>
      <c r="HB52" s="22"/>
      <c r="HE52" s="9"/>
      <c r="IM52" s="13"/>
      <c r="IN52" s="13"/>
    </row>
    <row r="53" spans="1:251" x14ac:dyDescent="0.2">
      <c r="A53" s="9"/>
      <c r="B53" s="423"/>
      <c r="C53" s="154" t="str">
        <f t="shared" si="180"/>
        <v/>
      </c>
      <c r="D53" s="154"/>
      <c r="E53" s="424"/>
      <c r="F53" s="424"/>
      <c r="G53" s="425" t="str">
        <f t="shared" si="172"/>
        <v/>
      </c>
      <c r="H53" s="425"/>
      <c r="I53" s="426" t="str">
        <f t="shared" si="173"/>
        <v/>
      </c>
      <c r="J53" s="425" t="str">
        <f t="shared" si="174"/>
        <v/>
      </c>
      <c r="K53" s="425" t="str">
        <f t="shared" si="175"/>
        <v/>
      </c>
      <c r="L53" s="425"/>
      <c r="M53" s="425" t="str">
        <f>IF(AND(NOT(C52=""),C53=""),SUM($M$28:M52),IF(C53="","",IF(HZ29="Engine",SUM(IE29:IF29),IE29)))</f>
        <v/>
      </c>
      <c r="N53" s="154"/>
      <c r="O53" s="156" t="str">
        <f t="shared" si="176"/>
        <v/>
      </c>
      <c r="Q53" s="427" t="str">
        <f>IF(AND(NOT(C52=""),C53=""),SUM($Q$28:Q52),IF(C53="","",IF(HZ29="Engine",IE29,"")))</f>
        <v/>
      </c>
      <c r="R53" s="154"/>
      <c r="S53" s="427" t="str">
        <f>IF(AND(NOT(C52=""),C53=""),SUM($S$28:S52),IF(C53="","",IF(HZ29="Engine",IF29,"")))</f>
        <v/>
      </c>
      <c r="U53" s="425" t="str">
        <f t="shared" si="177"/>
        <v/>
      </c>
      <c r="V53" s="425"/>
      <c r="W53" s="425" t="str">
        <f t="shared" si="178"/>
        <v/>
      </c>
      <c r="X53" s="428" t="str">
        <f>IF(AND(NOT(C52=""),C53=""),SUM($X$28:X52),IF(C53="","",IF(HZ29="Engine",-IG29,"")))</f>
        <v/>
      </c>
      <c r="Y53" s="429" t="str">
        <f t="shared" si="179"/>
        <v/>
      </c>
      <c r="Z53" s="26"/>
      <c r="AB53" s="9"/>
      <c r="AH53" s="28"/>
      <c r="AI53" s="28"/>
      <c r="AJ53" s="28"/>
      <c r="AK53" s="28"/>
      <c r="AL53" s="33"/>
      <c r="AM53" s="34"/>
      <c r="AN53" s="33"/>
      <c r="AO53" s="33"/>
      <c r="AP53" s="33"/>
      <c r="AQ53" s="7"/>
      <c r="AR53" s="7"/>
      <c r="AS53" s="7"/>
      <c r="AT53" s="7"/>
      <c r="AU53" s="7"/>
      <c r="AV53" s="7"/>
      <c r="AW53" s="7"/>
      <c r="AX53" s="7"/>
      <c r="AY53" s="7"/>
      <c r="AZ53" s="23"/>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M53" s="44">
        <f t="shared" si="232"/>
        <v>47</v>
      </c>
      <c r="DN53" s="41">
        <f t="shared" si="206"/>
        <v>12272520</v>
      </c>
      <c r="DO53" s="41">
        <f t="shared" si="233"/>
        <v>122596.73076923078</v>
      </c>
      <c r="DP53" s="42">
        <f t="shared" si="207"/>
        <v>0</v>
      </c>
      <c r="DQ53" s="42">
        <f t="shared" si="208"/>
        <v>0</v>
      </c>
      <c r="DR53" s="42">
        <f t="shared" si="209"/>
        <v>0</v>
      </c>
      <c r="DS53" s="42">
        <f t="shared" si="210"/>
        <v>0</v>
      </c>
      <c r="DT53" s="42">
        <f t="shared" si="211"/>
        <v>0</v>
      </c>
      <c r="DU53" s="42">
        <f t="shared" si="212"/>
        <v>0</v>
      </c>
      <c r="DV53" s="42">
        <f t="shared" si="213"/>
        <v>0</v>
      </c>
      <c r="DW53" s="42">
        <f t="shared" si="214"/>
        <v>0</v>
      </c>
      <c r="DX53" s="42">
        <f t="shared" si="215"/>
        <v>5143146.3461538451</v>
      </c>
      <c r="DY53" s="42">
        <f>IF(DM53="",DY52,DN53-SUM($DO$6:DO53)+SUM($DP$6:DV53)-SUM($DW$6:DW53))</f>
        <v>7129373.6538461549</v>
      </c>
      <c r="DZ53" s="43">
        <f t="shared" si="234"/>
        <v>0.58092173847312167</v>
      </c>
      <c r="EA53" s="43"/>
      <c r="EB53" s="43" t="str">
        <f t="shared" si="146"/>
        <v>True</v>
      </c>
      <c r="EC53" s="41">
        <f t="shared" si="132"/>
        <v>185400</v>
      </c>
      <c r="ED53" s="41">
        <f t="shared" si="133"/>
        <v>606690</v>
      </c>
      <c r="EE53" s="41">
        <f t="shared" si="216"/>
        <v>902280</v>
      </c>
      <c r="EF53" s="41">
        <f t="shared" si="235"/>
        <v>10300</v>
      </c>
      <c r="EG53" s="42">
        <f t="shared" si="236"/>
        <v>8426.25</v>
      </c>
      <c r="EH53" s="42">
        <f t="shared" si="237"/>
        <v>6265.8333333333321</v>
      </c>
      <c r="EI53" s="42">
        <f t="shared" si="217"/>
        <v>113300</v>
      </c>
      <c r="EJ53" s="42">
        <f t="shared" si="218"/>
        <v>396034</v>
      </c>
      <c r="EK53" s="42">
        <f t="shared" si="219"/>
        <v>294494</v>
      </c>
      <c r="EL53" s="42">
        <f>IF(DM53="","",EC53-SUM($EF$6:EF53)+SUM($DP$6:DP53))</f>
        <v>72100.000000000116</v>
      </c>
      <c r="EM53" s="42">
        <f>IF(DM53="","",ED53-SUM($EG$6:EG53)+SUM($DQ$6:DQ53))</f>
        <v>210656.25</v>
      </c>
      <c r="EN53" s="42">
        <f>IF(DM53="","",EE53-SUM($EH$6:EH53)+SUM($DR$6:DR53))</f>
        <v>607785.83333333326</v>
      </c>
      <c r="EO53" s="152">
        <f t="shared" si="220"/>
        <v>0.52558891111937378</v>
      </c>
      <c r="EP53" s="43"/>
      <c r="EQ53" s="42">
        <f t="shared" si="221"/>
        <v>448050</v>
      </c>
      <c r="ER53" s="42">
        <f t="shared" si="222"/>
        <v>248100</v>
      </c>
      <c r="ES53" s="42">
        <f t="shared" si="238"/>
        <v>3733.75</v>
      </c>
      <c r="ET53" s="42">
        <f t="shared" si="239"/>
        <v>6122.9807692307695</v>
      </c>
      <c r="EU53" s="42">
        <f t="shared" si="223"/>
        <v>175486</v>
      </c>
      <c r="EV53" s="42">
        <f t="shared" si="224"/>
        <v>39680</v>
      </c>
      <c r="EW53" s="42">
        <f>IF(DM53="","",IF(DS53&gt;0,DS53,EQ53-SUM($ES$6:ES53)+SUM($DS$6:DS53)))</f>
        <v>272563.75</v>
      </c>
      <c r="EX53" s="42">
        <f>IF(DM53="","",IF(DT53&gt;0,DT53,ER53-SUM($ET$6:ET53)+SUM($DT$6:DT53)))</f>
        <v>208419.90384615376</v>
      </c>
      <c r="EY53" s="43">
        <f t="shared" si="225"/>
        <v>0.84006410256410224</v>
      </c>
      <c r="EZ53" s="43">
        <f t="shared" si="226"/>
        <v>0.60833333333333328</v>
      </c>
      <c r="FA53" s="43"/>
      <c r="FB53" s="42">
        <f t="shared" si="227"/>
        <v>4700000</v>
      </c>
      <c r="FC53" s="42">
        <f t="shared" si="228"/>
        <v>5182000</v>
      </c>
      <c r="FD53" s="41">
        <f t="shared" si="240"/>
        <v>54833.333333333336</v>
      </c>
      <c r="FE53" s="41">
        <f t="shared" si="241"/>
        <v>32914.583333333336</v>
      </c>
      <c r="FF53" s="42">
        <f t="shared" si="229"/>
        <v>2577167</v>
      </c>
      <c r="FG53" s="42">
        <f t="shared" si="230"/>
        <v>1546985</v>
      </c>
      <c r="FH53" s="42">
        <f>IF(DM53="","",IF(DU53&gt;0,DU53,FB53-SUM($FD$6:FD53)+SUM($DU$6:DU53)))</f>
        <v>2122833.333333333</v>
      </c>
      <c r="FI53" s="42">
        <f>IF(DM53="","",FC53-SUM($FE$6:FE53)+SUM($DV$6:DV53)-SUM($DW$6:DW53))</f>
        <v>3635014.583333334</v>
      </c>
      <c r="FJ53" s="152">
        <f t="shared" si="231"/>
        <v>0.58266018181204893</v>
      </c>
      <c r="FN53" s="8"/>
      <c r="FO53" s="8"/>
      <c r="FP53" s="8"/>
      <c r="FQ53" s="8"/>
      <c r="FR53" s="8"/>
      <c r="FS53" s="8"/>
      <c r="FT53" s="8"/>
      <c r="FU53" s="8"/>
      <c r="GC53" s="68">
        <f t="shared" si="195"/>
        <v>48</v>
      </c>
      <c r="GD53" s="78">
        <f t="shared" si="196"/>
        <v>0</v>
      </c>
      <c r="GE53" s="309">
        <f t="shared" si="197"/>
        <v>0.57093220651316301</v>
      </c>
      <c r="GF53" s="78">
        <f t="shared" si="198"/>
        <v>0</v>
      </c>
      <c r="GG53" s="310">
        <f t="shared" si="199"/>
        <v>0.51083883685381593</v>
      </c>
      <c r="GH53" s="78">
        <f t="shared" si="200"/>
        <v>0</v>
      </c>
      <c r="GI53" s="310">
        <f t="shared" si="201"/>
        <v>0.6</v>
      </c>
      <c r="GJ53" s="311">
        <f t="shared" si="202"/>
        <v>0</v>
      </c>
      <c r="GK53" s="310">
        <f t="shared" si="203"/>
        <v>0.81538461538461504</v>
      </c>
      <c r="GL53" s="311">
        <f t="shared" si="204"/>
        <v>0</v>
      </c>
      <c r="GM53" s="310">
        <f t="shared" si="205"/>
        <v>0.57378061121230517</v>
      </c>
      <c r="HB53" s="22"/>
      <c r="HE53" s="9"/>
      <c r="IM53" s="13"/>
      <c r="IN53" s="13"/>
    </row>
    <row r="54" spans="1:251" x14ac:dyDescent="0.2">
      <c r="A54" s="9"/>
      <c r="B54" s="423"/>
      <c r="C54" s="154" t="str">
        <f t="shared" si="180"/>
        <v/>
      </c>
      <c r="D54" s="154"/>
      <c r="E54" s="424"/>
      <c r="F54" s="424"/>
      <c r="G54" s="425" t="str">
        <f t="shared" si="172"/>
        <v/>
      </c>
      <c r="H54" s="425"/>
      <c r="I54" s="426" t="str">
        <f t="shared" si="173"/>
        <v/>
      </c>
      <c r="J54" s="425" t="str">
        <f t="shared" si="174"/>
        <v/>
      </c>
      <c r="K54" s="425" t="str">
        <f t="shared" si="175"/>
        <v/>
      </c>
      <c r="L54" s="425"/>
      <c r="M54" s="425" t="str">
        <f>IF(AND(NOT(C53=""),C54=""),SUM($M$28:M53),IF(C54="","",IF(HZ30="Engine",SUM(IE30:IF30),IE30)))</f>
        <v/>
      </c>
      <c r="N54" s="154"/>
      <c r="O54" s="156" t="str">
        <f t="shared" si="176"/>
        <v/>
      </c>
      <c r="Q54" s="427" t="str">
        <f>IF(AND(NOT(C53=""),C54=""),SUM($Q$28:Q53),IF(C54="","",IF(HZ30="Engine",IE30,"")))</f>
        <v/>
      </c>
      <c r="R54" s="154"/>
      <c r="S54" s="427" t="str">
        <f>IF(AND(NOT(C53=""),C54=""),SUM($S$28:S53),IF(C54="","",IF(HZ30="Engine",IF30,"")))</f>
        <v/>
      </c>
      <c r="U54" s="425" t="str">
        <f t="shared" si="177"/>
        <v/>
      </c>
      <c r="V54" s="425"/>
      <c r="W54" s="425" t="str">
        <f t="shared" si="178"/>
        <v/>
      </c>
      <c r="X54" s="428" t="str">
        <f>IF(AND(NOT(C53=""),C54=""),SUM($X$28:X53),IF(C54="","",IF(HZ30="Engine",-IG30,"")))</f>
        <v/>
      </c>
      <c r="Y54" s="429" t="str">
        <f t="shared" si="179"/>
        <v/>
      </c>
      <c r="Z54" s="26"/>
      <c r="AB54" s="9"/>
      <c r="AH54" s="28"/>
      <c r="AI54" s="28"/>
      <c r="AJ54" s="28"/>
      <c r="AK54" s="28"/>
      <c r="AL54" s="33"/>
      <c r="AM54" s="34"/>
      <c r="AN54" s="33"/>
      <c r="AO54" s="33"/>
      <c r="AP54" s="33"/>
      <c r="AQ54" s="7"/>
      <c r="AR54" s="7"/>
      <c r="AS54" s="7"/>
      <c r="AT54" s="7"/>
      <c r="AU54" s="7"/>
      <c r="AV54" s="7"/>
      <c r="AW54" s="7"/>
      <c r="AX54" s="7"/>
      <c r="AY54" s="7"/>
      <c r="AZ54" s="23"/>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M54" s="44">
        <f t="shared" si="232"/>
        <v>48</v>
      </c>
      <c r="DN54" s="41">
        <f t="shared" si="206"/>
        <v>12272520</v>
      </c>
      <c r="DO54" s="41">
        <f t="shared" si="233"/>
        <v>122596.73076923078</v>
      </c>
      <c r="DP54" s="42">
        <f t="shared" si="207"/>
        <v>0</v>
      </c>
      <c r="DQ54" s="42">
        <f t="shared" si="208"/>
        <v>0</v>
      </c>
      <c r="DR54" s="42">
        <f t="shared" si="209"/>
        <v>0</v>
      </c>
      <c r="DS54" s="42">
        <f t="shared" si="210"/>
        <v>0</v>
      </c>
      <c r="DT54" s="42">
        <f t="shared" si="211"/>
        <v>0</v>
      </c>
      <c r="DU54" s="42">
        <f t="shared" si="212"/>
        <v>0</v>
      </c>
      <c r="DV54" s="42">
        <f t="shared" si="213"/>
        <v>0</v>
      </c>
      <c r="DW54" s="42">
        <f t="shared" si="214"/>
        <v>0</v>
      </c>
      <c r="DX54" s="42">
        <f t="shared" si="215"/>
        <v>5265743.0769230761</v>
      </c>
      <c r="DY54" s="42">
        <f>IF(DM54="",DY53,DN54-SUM($DO$6:DO54)+SUM($DP$6:DV54)-SUM($DW$6:DW54))</f>
        <v>7006776.9230769239</v>
      </c>
      <c r="DZ54" s="43">
        <f t="shared" si="234"/>
        <v>0.57093220651316301</v>
      </c>
      <c r="EA54" s="43"/>
      <c r="EB54" s="43" t="str">
        <f t="shared" si="146"/>
        <v>True</v>
      </c>
      <c r="EC54" s="41">
        <f t="shared" si="132"/>
        <v>185400</v>
      </c>
      <c r="ED54" s="41">
        <f t="shared" si="133"/>
        <v>606690</v>
      </c>
      <c r="EE54" s="41">
        <f t="shared" si="216"/>
        <v>902280</v>
      </c>
      <c r="EF54" s="41">
        <f t="shared" si="235"/>
        <v>10300</v>
      </c>
      <c r="EG54" s="42">
        <f t="shared" si="236"/>
        <v>8426.25</v>
      </c>
      <c r="EH54" s="42">
        <f t="shared" si="237"/>
        <v>6265.8333333333321</v>
      </c>
      <c r="EI54" s="42">
        <f t="shared" si="217"/>
        <v>123600</v>
      </c>
      <c r="EJ54" s="42">
        <f t="shared" si="218"/>
        <v>404460</v>
      </c>
      <c r="EK54" s="42">
        <f t="shared" si="219"/>
        <v>300760</v>
      </c>
      <c r="EL54" s="42">
        <f>IF(DM54="","",EC54-SUM($EF$6:EF54)+SUM($DP$6:DP54))</f>
        <v>61800.000000000116</v>
      </c>
      <c r="EM54" s="42">
        <f>IF(DM54="","",ED54-SUM($EG$6:EG54)+SUM($DQ$6:DQ54))</f>
        <v>202230</v>
      </c>
      <c r="EN54" s="42">
        <f>IF(DM54="","",EE54-SUM($EH$6:EH54)+SUM($DR$6:DR54))</f>
        <v>601520</v>
      </c>
      <c r="EO54" s="152">
        <f t="shared" si="220"/>
        <v>0.51083883685381593</v>
      </c>
      <c r="EP54" s="43"/>
      <c r="EQ54" s="42">
        <f t="shared" si="221"/>
        <v>448050</v>
      </c>
      <c r="ER54" s="42">
        <f t="shared" si="222"/>
        <v>248100</v>
      </c>
      <c r="ES54" s="42">
        <f t="shared" si="238"/>
        <v>3733.75</v>
      </c>
      <c r="ET54" s="42">
        <f t="shared" si="239"/>
        <v>6122.9807692307695</v>
      </c>
      <c r="EU54" s="42">
        <f t="shared" si="223"/>
        <v>179220</v>
      </c>
      <c r="EV54" s="42">
        <f t="shared" si="224"/>
        <v>45803</v>
      </c>
      <c r="EW54" s="42">
        <f>IF(DM54="","",IF(DS54&gt;0,DS54,EQ54-SUM($ES$6:ES54)+SUM($DS$6:DS54)))</f>
        <v>268830</v>
      </c>
      <c r="EX54" s="42">
        <f>IF(DM54="","",IF(DT54&gt;0,DT54,ER54-SUM($ET$6:ET54)+SUM($DT$6:DT54)))</f>
        <v>202296.92307692301</v>
      </c>
      <c r="EY54" s="43">
        <f t="shared" si="225"/>
        <v>0.81538461538461504</v>
      </c>
      <c r="EZ54" s="43">
        <f t="shared" si="226"/>
        <v>0.6</v>
      </c>
      <c r="FA54" s="43"/>
      <c r="FB54" s="42">
        <f t="shared" si="227"/>
        <v>4700000</v>
      </c>
      <c r="FC54" s="42">
        <f t="shared" si="228"/>
        <v>5182000</v>
      </c>
      <c r="FD54" s="41">
        <f t="shared" si="240"/>
        <v>54833.333333333336</v>
      </c>
      <c r="FE54" s="41">
        <f t="shared" si="241"/>
        <v>32914.583333333336</v>
      </c>
      <c r="FF54" s="42">
        <f t="shared" si="229"/>
        <v>2632000</v>
      </c>
      <c r="FG54" s="42">
        <f t="shared" si="230"/>
        <v>1579900</v>
      </c>
      <c r="FH54" s="42">
        <f>IF(DM54="","",IF(DU54&gt;0,DU54,FB54-SUM($FD$6:FD54)+SUM($DU$6:DU54)))</f>
        <v>2067999.9999999995</v>
      </c>
      <c r="FI54" s="42">
        <f>IF(DM54="","",FC54-SUM($FE$6:FE54)+SUM($DV$6:DV54)-SUM($DW$6:DW54))</f>
        <v>3602100.0000000009</v>
      </c>
      <c r="FJ54" s="152">
        <f t="shared" si="231"/>
        <v>0.57378061121230517</v>
      </c>
      <c r="FN54" s="8"/>
      <c r="FO54" s="8"/>
      <c r="FP54" s="8"/>
      <c r="FQ54" s="8"/>
      <c r="FR54" s="8"/>
      <c r="FS54" s="8"/>
      <c r="FT54" s="8"/>
      <c r="FU54" s="8"/>
      <c r="GC54" s="68">
        <f t="shared" si="195"/>
        <v>49</v>
      </c>
      <c r="GD54" s="78">
        <f t="shared" si="196"/>
        <v>0</v>
      </c>
      <c r="GE54" s="309">
        <f t="shared" si="197"/>
        <v>0.56094267455320446</v>
      </c>
      <c r="GF54" s="78">
        <f t="shared" si="198"/>
        <v>0</v>
      </c>
      <c r="GG54" s="310">
        <f t="shared" si="199"/>
        <v>0.49608876258825807</v>
      </c>
      <c r="GH54" s="78">
        <f t="shared" si="200"/>
        <v>0</v>
      </c>
      <c r="GI54" s="310">
        <f t="shared" si="201"/>
        <v>0.59166666666666667</v>
      </c>
      <c r="GJ54" s="311">
        <f t="shared" si="202"/>
        <v>0</v>
      </c>
      <c r="GK54" s="310">
        <f t="shared" si="203"/>
        <v>0.79070512820512795</v>
      </c>
      <c r="GL54" s="311">
        <f t="shared" si="204"/>
        <v>0</v>
      </c>
      <c r="GM54" s="310">
        <f t="shared" si="205"/>
        <v>0.56490104061256163</v>
      </c>
      <c r="HB54" s="22"/>
      <c r="HE54" s="9"/>
    </row>
    <row r="55" spans="1:251" x14ac:dyDescent="0.2">
      <c r="A55" s="9"/>
      <c r="B55" s="423"/>
      <c r="C55" s="154" t="str">
        <f t="shared" si="180"/>
        <v/>
      </c>
      <c r="D55" s="154"/>
      <c r="E55" s="424"/>
      <c r="F55" s="424"/>
      <c r="G55" s="425" t="str">
        <f t="shared" si="172"/>
        <v/>
      </c>
      <c r="H55" s="425"/>
      <c r="I55" s="426" t="str">
        <f t="shared" si="173"/>
        <v/>
      </c>
      <c r="J55" s="425" t="str">
        <f t="shared" si="174"/>
        <v/>
      </c>
      <c r="K55" s="425" t="str">
        <f t="shared" si="175"/>
        <v/>
      </c>
      <c r="L55" s="425"/>
      <c r="M55" s="425" t="str">
        <f>IF(AND(NOT(C54=""),C55=""),SUM($M$28:M54),IF(C55="","",IF(HZ31="Engine",SUM(IE31:IF31),IE31)))</f>
        <v/>
      </c>
      <c r="N55" s="154"/>
      <c r="O55" s="156" t="str">
        <f t="shared" si="176"/>
        <v/>
      </c>
      <c r="Q55" s="427" t="str">
        <f>IF(AND(NOT(C54=""),C55=""),SUM($Q$28:Q54),IF(C55="","",IF(HZ31="Engine",IE31,"")))</f>
        <v/>
      </c>
      <c r="R55" s="154"/>
      <c r="S55" s="427" t="str">
        <f>IF(AND(NOT(C54=""),C55=""),SUM($S$28:S54),IF(C55="","",IF(HZ31="Engine",IF31,"")))</f>
        <v/>
      </c>
      <c r="U55" s="425" t="str">
        <f t="shared" si="177"/>
        <v/>
      </c>
      <c r="V55" s="425"/>
      <c r="W55" s="425" t="str">
        <f t="shared" si="178"/>
        <v/>
      </c>
      <c r="X55" s="428" t="str">
        <f>IF(AND(NOT(C54=""),C55=""),SUM($X$28:X54),IF(C55="","",IF(HZ31="Engine",-IG31,"")))</f>
        <v/>
      </c>
      <c r="Y55" s="429" t="str">
        <f t="shared" si="179"/>
        <v/>
      </c>
      <c r="Z55" s="26"/>
      <c r="AA55" s="26"/>
      <c r="AB55" s="9"/>
      <c r="AH55" s="28"/>
      <c r="AI55" s="28"/>
      <c r="AJ55" s="28"/>
      <c r="AK55" s="28"/>
      <c r="AL55" s="33"/>
      <c r="AM55" s="34"/>
      <c r="AN55" s="33"/>
      <c r="AO55" s="33"/>
      <c r="AP55" s="33"/>
      <c r="AQ55" s="7"/>
      <c r="AR55" s="7"/>
      <c r="AS55" s="7"/>
      <c r="AT55" s="7"/>
      <c r="AU55" s="7"/>
      <c r="AV55" s="7"/>
      <c r="AW55" s="7"/>
      <c r="AX55" s="7"/>
      <c r="AY55" s="7"/>
      <c r="AZ55" s="23"/>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M55" s="44">
        <f t="shared" si="232"/>
        <v>49</v>
      </c>
      <c r="DN55" s="41">
        <f t="shared" si="206"/>
        <v>12272520</v>
      </c>
      <c r="DO55" s="41">
        <f t="shared" si="233"/>
        <v>122596.73076923078</v>
      </c>
      <c r="DP55" s="42">
        <f t="shared" si="207"/>
        <v>0</v>
      </c>
      <c r="DQ55" s="42">
        <f t="shared" si="208"/>
        <v>0</v>
      </c>
      <c r="DR55" s="42">
        <f t="shared" si="209"/>
        <v>0</v>
      </c>
      <c r="DS55" s="42">
        <f t="shared" si="210"/>
        <v>0</v>
      </c>
      <c r="DT55" s="42">
        <f t="shared" si="211"/>
        <v>0</v>
      </c>
      <c r="DU55" s="42">
        <f t="shared" si="212"/>
        <v>0</v>
      </c>
      <c r="DV55" s="42">
        <f t="shared" si="213"/>
        <v>0</v>
      </c>
      <c r="DW55" s="42">
        <f t="shared" si="214"/>
        <v>0</v>
      </c>
      <c r="DX55" s="42">
        <f t="shared" si="215"/>
        <v>5388339.807692307</v>
      </c>
      <c r="DY55" s="42">
        <f>IF(DM55="",DY54,DN55-SUM($DO$6:DO55)+SUM($DP$6:DV55)-SUM($DW$6:DW55))</f>
        <v>6884180.192307693</v>
      </c>
      <c r="DZ55" s="43">
        <f t="shared" si="234"/>
        <v>0.56094267455320446</v>
      </c>
      <c r="EA55" s="43"/>
      <c r="EB55" s="43" t="str">
        <f t="shared" si="146"/>
        <v>True</v>
      </c>
      <c r="EC55" s="41">
        <f t="shared" si="132"/>
        <v>185400</v>
      </c>
      <c r="ED55" s="41">
        <f t="shared" si="133"/>
        <v>606690</v>
      </c>
      <c r="EE55" s="41">
        <f t="shared" si="216"/>
        <v>902280</v>
      </c>
      <c r="EF55" s="41">
        <f t="shared" si="235"/>
        <v>10300</v>
      </c>
      <c r="EG55" s="42">
        <f t="shared" si="236"/>
        <v>8426.25</v>
      </c>
      <c r="EH55" s="42">
        <f t="shared" si="237"/>
        <v>6265.8333333333321</v>
      </c>
      <c r="EI55" s="42">
        <f t="shared" si="217"/>
        <v>133900</v>
      </c>
      <c r="EJ55" s="42">
        <f t="shared" si="218"/>
        <v>412886</v>
      </c>
      <c r="EK55" s="42">
        <f t="shared" si="219"/>
        <v>307026</v>
      </c>
      <c r="EL55" s="42">
        <f>IF(DM55="","",EC55-SUM($EF$6:EF55)+SUM($DP$6:DP55))</f>
        <v>51500.000000000116</v>
      </c>
      <c r="EM55" s="42">
        <f>IF(DM55="","",ED55-SUM($EG$6:EG55)+SUM($DQ$6:DQ55))</f>
        <v>193803.75</v>
      </c>
      <c r="EN55" s="42">
        <f>IF(DM55="","",EE55-SUM($EH$6:EH55)+SUM($DR$6:DR55))</f>
        <v>595254.16666666674</v>
      </c>
      <c r="EO55" s="152">
        <f t="shared" si="220"/>
        <v>0.49608876258825807</v>
      </c>
      <c r="EP55" s="43"/>
      <c r="EQ55" s="42">
        <f t="shared" si="221"/>
        <v>448050</v>
      </c>
      <c r="ER55" s="42">
        <f t="shared" si="222"/>
        <v>248100</v>
      </c>
      <c r="ES55" s="42">
        <f t="shared" si="238"/>
        <v>3733.75</v>
      </c>
      <c r="ET55" s="42">
        <f t="shared" si="239"/>
        <v>6122.9807692307695</v>
      </c>
      <c r="EU55" s="42">
        <f t="shared" si="223"/>
        <v>182954</v>
      </c>
      <c r="EV55" s="42">
        <f t="shared" si="224"/>
        <v>51926</v>
      </c>
      <c r="EW55" s="42">
        <f>IF(DM55="","",IF(DS55&gt;0,DS55,EQ55-SUM($ES$6:ES55)+SUM($DS$6:DS55)))</f>
        <v>265096.25</v>
      </c>
      <c r="EX55" s="42">
        <f>IF(DM55="","",IF(DT55&gt;0,DT55,ER55-SUM($ET$6:ET55)+SUM($DT$6:DT55)))</f>
        <v>196173.94230769225</v>
      </c>
      <c r="EY55" s="43">
        <f t="shared" si="225"/>
        <v>0.79070512820512795</v>
      </c>
      <c r="EZ55" s="43">
        <f t="shared" si="226"/>
        <v>0.59166666666666667</v>
      </c>
      <c r="FA55" s="43"/>
      <c r="FB55" s="42">
        <f t="shared" si="227"/>
        <v>4700000</v>
      </c>
      <c r="FC55" s="42">
        <f t="shared" si="228"/>
        <v>5182000</v>
      </c>
      <c r="FD55" s="41">
        <f t="shared" si="240"/>
        <v>54833.333333333336</v>
      </c>
      <c r="FE55" s="41">
        <f t="shared" si="241"/>
        <v>32914.583333333336</v>
      </c>
      <c r="FF55" s="42">
        <f t="shared" si="229"/>
        <v>2686833</v>
      </c>
      <c r="FG55" s="42">
        <f t="shared" si="230"/>
        <v>1612815</v>
      </c>
      <c r="FH55" s="42">
        <f>IF(DM55="","",IF(DU55&gt;0,DU55,FB55-SUM($FD$6:FD55)+SUM($DU$6:DU55)))</f>
        <v>2013166.666666666</v>
      </c>
      <c r="FI55" s="42">
        <f>IF(DM55="","",FC55-SUM($FE$6:FE55)+SUM($DV$6:DV55)-SUM($DW$6:DW55))</f>
        <v>3569185.4166666674</v>
      </c>
      <c r="FJ55" s="152">
        <f t="shared" si="231"/>
        <v>0.56490104061256163</v>
      </c>
      <c r="FN55" s="8"/>
      <c r="FO55" s="8"/>
      <c r="FP55" s="8"/>
      <c r="FQ55" s="8"/>
      <c r="FR55" s="8"/>
      <c r="FS55" s="8"/>
      <c r="FT55" s="8"/>
      <c r="FU55" s="8"/>
      <c r="GC55" s="68">
        <f t="shared" si="195"/>
        <v>50</v>
      </c>
      <c r="GD55" s="78">
        <f t="shared" si="196"/>
        <v>0</v>
      </c>
      <c r="GE55" s="309">
        <f t="shared" si="197"/>
        <v>0.5509531425932459</v>
      </c>
      <c r="GF55" s="78">
        <f t="shared" si="198"/>
        <v>0</v>
      </c>
      <c r="GG55" s="310">
        <f t="shared" si="199"/>
        <v>0.48133868832270016</v>
      </c>
      <c r="GH55" s="78">
        <f t="shared" si="200"/>
        <v>0</v>
      </c>
      <c r="GI55" s="310">
        <f t="shared" si="201"/>
        <v>0.58333333333333337</v>
      </c>
      <c r="GJ55" s="311">
        <f t="shared" si="202"/>
        <v>0</v>
      </c>
      <c r="GK55" s="310">
        <f t="shared" si="203"/>
        <v>0.76602564102564086</v>
      </c>
      <c r="GL55" s="311">
        <f t="shared" si="204"/>
        <v>0</v>
      </c>
      <c r="GM55" s="310">
        <f t="shared" si="205"/>
        <v>0.55602147001281788</v>
      </c>
      <c r="HB55" s="22"/>
      <c r="HE55" s="9"/>
    </row>
    <row r="56" spans="1:251" x14ac:dyDescent="0.2">
      <c r="A56" s="9"/>
      <c r="B56" s="423"/>
      <c r="C56" s="154" t="str">
        <f t="shared" si="180"/>
        <v/>
      </c>
      <c r="D56" s="154"/>
      <c r="E56" s="424"/>
      <c r="F56" s="424"/>
      <c r="G56" s="425" t="str">
        <f t="shared" si="172"/>
        <v/>
      </c>
      <c r="H56" s="425"/>
      <c r="I56" s="426" t="str">
        <f t="shared" si="173"/>
        <v/>
      </c>
      <c r="J56" s="425" t="str">
        <f t="shared" si="174"/>
        <v/>
      </c>
      <c r="K56" s="425" t="str">
        <f t="shared" si="175"/>
        <v/>
      </c>
      <c r="L56" s="425"/>
      <c r="M56" s="425" t="str">
        <f>IF(AND(NOT(C55=""),C56=""),SUM($M$28:M55),IF(C56="","",IF(HZ32="Engine",SUM(IE32:IF32),IE32)))</f>
        <v/>
      </c>
      <c r="N56" s="154"/>
      <c r="O56" s="156" t="str">
        <f t="shared" si="176"/>
        <v/>
      </c>
      <c r="Q56" s="427" t="str">
        <f>IF(AND(NOT(C55=""),C56=""),SUM($Q$28:Q55),IF(C56="","",IF(HZ32="Engine",IE32,"")))</f>
        <v/>
      </c>
      <c r="R56" s="154"/>
      <c r="S56" s="427" t="str">
        <f>IF(AND(NOT(C55=""),C56=""),SUM($S$28:S55),IF(C56="","",IF(HZ32="Engine",IF32,"")))</f>
        <v/>
      </c>
      <c r="U56" s="425" t="str">
        <f t="shared" si="177"/>
        <v/>
      </c>
      <c r="V56" s="425"/>
      <c r="W56" s="425" t="str">
        <f t="shared" si="178"/>
        <v/>
      </c>
      <c r="X56" s="428" t="str">
        <f>IF(AND(NOT(C55=""),C56=""),SUM($X$28:X55),IF(C56="","",IF(HZ32="Engine",-IG32,"")))</f>
        <v/>
      </c>
      <c r="Y56" s="429" t="str">
        <f t="shared" si="179"/>
        <v/>
      </c>
      <c r="Z56" s="26"/>
      <c r="AA56" s="26"/>
      <c r="AB56" s="9"/>
      <c r="AH56" s="28"/>
      <c r="AI56" s="28"/>
      <c r="AJ56" s="28"/>
      <c r="AK56" s="28"/>
      <c r="AL56" s="33"/>
      <c r="AM56" s="34"/>
      <c r="AN56" s="33"/>
      <c r="AO56" s="33"/>
      <c r="AP56" s="33"/>
      <c r="AQ56" s="7"/>
      <c r="AR56" s="7"/>
      <c r="AS56" s="7"/>
      <c r="AT56" s="7"/>
      <c r="AU56" s="7"/>
      <c r="AV56" s="7"/>
      <c r="AW56" s="7"/>
      <c r="AX56" s="7"/>
      <c r="AY56" s="7"/>
      <c r="AZ56" s="23"/>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M56" s="44">
        <f t="shared" si="232"/>
        <v>50</v>
      </c>
      <c r="DN56" s="41">
        <f t="shared" si="206"/>
        <v>12272520</v>
      </c>
      <c r="DO56" s="41">
        <f t="shared" si="233"/>
        <v>122596.73076923078</v>
      </c>
      <c r="DP56" s="42">
        <f t="shared" si="207"/>
        <v>0</v>
      </c>
      <c r="DQ56" s="42">
        <f t="shared" si="208"/>
        <v>0</v>
      </c>
      <c r="DR56" s="42">
        <f t="shared" si="209"/>
        <v>0</v>
      </c>
      <c r="DS56" s="42">
        <f t="shared" si="210"/>
        <v>0</v>
      </c>
      <c r="DT56" s="42">
        <f t="shared" si="211"/>
        <v>0</v>
      </c>
      <c r="DU56" s="42">
        <f t="shared" si="212"/>
        <v>0</v>
      </c>
      <c r="DV56" s="42">
        <f t="shared" si="213"/>
        <v>0</v>
      </c>
      <c r="DW56" s="42">
        <f t="shared" si="214"/>
        <v>0</v>
      </c>
      <c r="DX56" s="42">
        <f t="shared" si="215"/>
        <v>5510936.538461538</v>
      </c>
      <c r="DY56" s="42">
        <f>IF(DM56="",DY55,DN56-SUM($DO$6:DO56)+SUM($DP$6:DV56)-SUM($DW$6:DW56))</f>
        <v>6761583.461538462</v>
      </c>
      <c r="DZ56" s="43">
        <f t="shared" si="234"/>
        <v>0.5509531425932459</v>
      </c>
      <c r="EA56" s="43"/>
      <c r="EB56" s="43" t="str">
        <f t="shared" si="146"/>
        <v>True</v>
      </c>
      <c r="EC56" s="41">
        <f t="shared" si="132"/>
        <v>185400</v>
      </c>
      <c r="ED56" s="41">
        <f t="shared" si="133"/>
        <v>606690</v>
      </c>
      <c r="EE56" s="41">
        <f t="shared" si="216"/>
        <v>902280</v>
      </c>
      <c r="EF56" s="41">
        <f t="shared" si="235"/>
        <v>10300</v>
      </c>
      <c r="EG56" s="42">
        <f t="shared" si="236"/>
        <v>8426.25</v>
      </c>
      <c r="EH56" s="42">
        <f t="shared" si="237"/>
        <v>6265.8333333333321</v>
      </c>
      <c r="EI56" s="42">
        <f t="shared" si="217"/>
        <v>144200</v>
      </c>
      <c r="EJ56" s="42">
        <f t="shared" si="218"/>
        <v>421313</v>
      </c>
      <c r="EK56" s="42">
        <f t="shared" si="219"/>
        <v>313292</v>
      </c>
      <c r="EL56" s="42">
        <f>IF(DM56="","",EC56-SUM($EF$6:EF56)+SUM($DP$6:DP56))</f>
        <v>41200.000000000116</v>
      </c>
      <c r="EM56" s="42">
        <f>IF(DM56="","",ED56-SUM($EG$6:EG56)+SUM($DQ$6:DQ56))</f>
        <v>185377.5</v>
      </c>
      <c r="EN56" s="42">
        <f>IF(DM56="","",EE56-SUM($EH$6:EH56)+SUM($DR$6:DR56))</f>
        <v>588988.33333333337</v>
      </c>
      <c r="EO56" s="152">
        <f t="shared" si="220"/>
        <v>0.48133868832270016</v>
      </c>
      <c r="EP56" s="43"/>
      <c r="EQ56" s="42">
        <f t="shared" si="221"/>
        <v>448050</v>
      </c>
      <c r="ER56" s="42">
        <f t="shared" si="222"/>
        <v>248100</v>
      </c>
      <c r="ES56" s="42">
        <f t="shared" si="238"/>
        <v>3733.75</v>
      </c>
      <c r="ET56" s="42">
        <f t="shared" si="239"/>
        <v>6122.9807692307695</v>
      </c>
      <c r="EU56" s="42">
        <f t="shared" si="223"/>
        <v>186688</v>
      </c>
      <c r="EV56" s="42">
        <f t="shared" si="224"/>
        <v>58049</v>
      </c>
      <c r="EW56" s="42">
        <f>IF(DM56="","",IF(DS56&gt;0,DS56,EQ56-SUM($ES$6:ES56)+SUM($DS$6:DS56)))</f>
        <v>261362.5</v>
      </c>
      <c r="EX56" s="42">
        <f>IF(DM56="","",IF(DT56&gt;0,DT56,ER56-SUM($ET$6:ET56)+SUM($DT$6:DT56)))</f>
        <v>190050.9615384615</v>
      </c>
      <c r="EY56" s="43">
        <f t="shared" si="225"/>
        <v>0.76602564102564086</v>
      </c>
      <c r="EZ56" s="43">
        <f t="shared" si="226"/>
        <v>0.58333333333333337</v>
      </c>
      <c r="FA56" s="43"/>
      <c r="FB56" s="42">
        <f t="shared" si="227"/>
        <v>4700000</v>
      </c>
      <c r="FC56" s="42">
        <f t="shared" si="228"/>
        <v>5182000</v>
      </c>
      <c r="FD56" s="41">
        <f t="shared" si="240"/>
        <v>54833.333333333336</v>
      </c>
      <c r="FE56" s="41">
        <f t="shared" si="241"/>
        <v>32914.583333333336</v>
      </c>
      <c r="FF56" s="42">
        <f t="shared" si="229"/>
        <v>2741667</v>
      </c>
      <c r="FG56" s="42">
        <f t="shared" si="230"/>
        <v>1645729</v>
      </c>
      <c r="FH56" s="42">
        <f>IF(DM56="","",IF(DU56&gt;0,DU56,FB56-SUM($FD$6:FD56)+SUM($DU$6:DU56)))</f>
        <v>1958333.3333333326</v>
      </c>
      <c r="FI56" s="42">
        <f>IF(DM56="","",FC56-SUM($FE$6:FE56)+SUM($DV$6:DV56)-SUM($DW$6:DW56))</f>
        <v>3536270.833333334</v>
      </c>
      <c r="FJ56" s="152">
        <f t="shared" si="231"/>
        <v>0.55602147001281788</v>
      </c>
      <c r="FN56" s="8"/>
      <c r="FO56" s="8"/>
      <c r="FP56" s="8"/>
      <c r="FQ56" s="8"/>
      <c r="FR56" s="8"/>
      <c r="FS56" s="8"/>
      <c r="FT56" s="8"/>
      <c r="FU56" s="8"/>
      <c r="GC56" s="68">
        <f t="shared" si="195"/>
        <v>51</v>
      </c>
      <c r="GD56" s="78">
        <f t="shared" si="196"/>
        <v>0</v>
      </c>
      <c r="GE56" s="309">
        <f t="shared" si="197"/>
        <v>0.54096361063328724</v>
      </c>
      <c r="GF56" s="78">
        <f t="shared" si="198"/>
        <v>0</v>
      </c>
      <c r="GG56" s="310">
        <f t="shared" si="199"/>
        <v>0.46658861405714225</v>
      </c>
      <c r="GH56" s="78">
        <f t="shared" si="200"/>
        <v>0</v>
      </c>
      <c r="GI56" s="310">
        <f t="shared" si="201"/>
        <v>0.57499999999999996</v>
      </c>
      <c r="GJ56" s="311">
        <f t="shared" si="202"/>
        <v>0</v>
      </c>
      <c r="GK56" s="310">
        <f t="shared" si="203"/>
        <v>0.74134615384615377</v>
      </c>
      <c r="GL56" s="311">
        <f t="shared" si="204"/>
        <v>0</v>
      </c>
      <c r="GM56" s="310">
        <f t="shared" si="205"/>
        <v>0.54714189941307423</v>
      </c>
      <c r="HB56" s="22"/>
      <c r="HE56" s="9"/>
    </row>
    <row r="57" spans="1:251" x14ac:dyDescent="0.2">
      <c r="A57" s="9"/>
      <c r="B57" s="423"/>
      <c r="C57" s="154" t="str">
        <f t="shared" si="180"/>
        <v/>
      </c>
      <c r="D57" s="145"/>
      <c r="E57" s="431"/>
      <c r="F57" s="431"/>
      <c r="G57" s="425" t="str">
        <f t="shared" si="172"/>
        <v/>
      </c>
      <c r="H57" s="144"/>
      <c r="I57" s="426" t="str">
        <f t="shared" si="173"/>
        <v/>
      </c>
      <c r="J57" s="144" t="str">
        <f t="shared" si="174"/>
        <v/>
      </c>
      <c r="K57" s="144" t="str">
        <f t="shared" si="175"/>
        <v/>
      </c>
      <c r="L57" s="144"/>
      <c r="M57" s="425" t="str">
        <f>IF(AND(NOT(C56=""),C57=""),SUM($M$28:M56),IF(C57="","",IF(HZ33="Engine",SUM(IE33:IF33),IE33)))</f>
        <v/>
      </c>
      <c r="N57" s="145"/>
      <c r="O57" s="156" t="str">
        <f t="shared" si="176"/>
        <v/>
      </c>
      <c r="Q57" s="427" t="str">
        <f>IF(AND(NOT(C56=""),C57=""),SUM($Q$28:Q56),IF(C57="","",IF(HZ33="Engine",IE33,"")))</f>
        <v/>
      </c>
      <c r="R57" s="145"/>
      <c r="S57" s="427" t="str">
        <f>IF(AND(NOT(C56=""),C57=""),SUM($S$28:S56),IF(C57="","",IF(HZ33="Engine",IF33,"")))</f>
        <v/>
      </c>
      <c r="U57" s="425" t="str">
        <f t="shared" si="177"/>
        <v/>
      </c>
      <c r="V57" s="144"/>
      <c r="W57" s="425" t="str">
        <f t="shared" si="178"/>
        <v/>
      </c>
      <c r="X57" s="428" t="str">
        <f>IF(AND(NOT(C56=""),C57=""),SUM($X$28:X56),IF(C57="","",IF(HZ33="Engine",-IG33,"")))</f>
        <v/>
      </c>
      <c r="Y57" s="429" t="str">
        <f t="shared" si="179"/>
        <v/>
      </c>
      <c r="Z57" s="26"/>
      <c r="AB57" s="9"/>
      <c r="AH57" s="28"/>
      <c r="AI57" s="28"/>
      <c r="AJ57" s="28"/>
      <c r="AK57" s="28"/>
      <c r="AL57" s="33"/>
      <c r="AM57" s="34"/>
      <c r="AN57" s="33"/>
      <c r="AO57" s="33"/>
      <c r="AP57" s="33"/>
      <c r="AQ57" s="7"/>
      <c r="AR57" s="7"/>
      <c r="AS57" s="7"/>
      <c r="AT57" s="7"/>
      <c r="AU57" s="7"/>
      <c r="AV57" s="7"/>
      <c r="AW57" s="7"/>
      <c r="AX57" s="7"/>
      <c r="AY57" s="7"/>
      <c r="AZ57" s="23"/>
      <c r="BI57" s="23"/>
      <c r="BN57" s="23"/>
      <c r="BQ57" s="23"/>
      <c r="BT57" s="23"/>
      <c r="BW57" s="23"/>
      <c r="BZ57" s="23"/>
      <c r="CA57" s="9"/>
      <c r="CB57" s="9"/>
      <c r="CC57" s="23"/>
      <c r="CF57" s="37"/>
      <c r="CI57" s="23"/>
      <c r="CL57" s="23"/>
      <c r="CM57" s="23"/>
      <c r="CN57" s="23"/>
      <c r="CO57" s="23"/>
      <c r="CP57" s="23"/>
      <c r="CQ57" s="23"/>
      <c r="CR57" s="23"/>
      <c r="CS57" s="23"/>
      <c r="CT57" s="23"/>
      <c r="CU57" s="23"/>
      <c r="CV57" s="23"/>
      <c r="CW57" s="23"/>
      <c r="CX57" s="23"/>
      <c r="CY57" s="23"/>
      <c r="CZ57" s="23"/>
      <c r="DA57" s="23"/>
      <c r="DM57" s="44">
        <f t="shared" si="232"/>
        <v>51</v>
      </c>
      <c r="DN57" s="41">
        <f t="shared" si="206"/>
        <v>12272520</v>
      </c>
      <c r="DO57" s="41">
        <f t="shared" si="233"/>
        <v>122596.73076923078</v>
      </c>
      <c r="DP57" s="42">
        <f t="shared" si="207"/>
        <v>0</v>
      </c>
      <c r="DQ57" s="42">
        <f t="shared" si="208"/>
        <v>0</v>
      </c>
      <c r="DR57" s="42">
        <f t="shared" si="209"/>
        <v>0</v>
      </c>
      <c r="DS57" s="42">
        <f t="shared" si="210"/>
        <v>0</v>
      </c>
      <c r="DT57" s="42">
        <f t="shared" si="211"/>
        <v>0</v>
      </c>
      <c r="DU57" s="42">
        <f t="shared" si="212"/>
        <v>0</v>
      </c>
      <c r="DV57" s="42">
        <f t="shared" si="213"/>
        <v>0</v>
      </c>
      <c r="DW57" s="42">
        <f t="shared" si="214"/>
        <v>0</v>
      </c>
      <c r="DX57" s="42">
        <f t="shared" si="215"/>
        <v>5633533.269230769</v>
      </c>
      <c r="DY57" s="42">
        <f>IF(DM57="",DY56,DN57-SUM($DO$6:DO57)+SUM($DP$6:DV57)-SUM($DW$6:DW57))</f>
        <v>6638986.730769231</v>
      </c>
      <c r="DZ57" s="43">
        <f t="shared" si="234"/>
        <v>0.54096361063328724</v>
      </c>
      <c r="EA57" s="43"/>
      <c r="EB57" s="43" t="str">
        <f t="shared" si="146"/>
        <v>True</v>
      </c>
      <c r="EC57" s="41">
        <f t="shared" si="132"/>
        <v>185400</v>
      </c>
      <c r="ED57" s="41">
        <f t="shared" si="133"/>
        <v>606690</v>
      </c>
      <c r="EE57" s="41">
        <f t="shared" si="216"/>
        <v>902280</v>
      </c>
      <c r="EF57" s="41">
        <f t="shared" si="235"/>
        <v>10300</v>
      </c>
      <c r="EG57" s="42">
        <f t="shared" si="236"/>
        <v>8426.25</v>
      </c>
      <c r="EH57" s="42">
        <f t="shared" si="237"/>
        <v>6265.8333333333321</v>
      </c>
      <c r="EI57" s="42">
        <f t="shared" si="217"/>
        <v>154500</v>
      </c>
      <c r="EJ57" s="42">
        <f t="shared" si="218"/>
        <v>429739</v>
      </c>
      <c r="EK57" s="42">
        <f t="shared" si="219"/>
        <v>319558</v>
      </c>
      <c r="EL57" s="42">
        <f>IF(DM57="","",EC57-SUM($EF$6:EF57)+SUM($DP$6:DP57))</f>
        <v>30900.000000000116</v>
      </c>
      <c r="EM57" s="42">
        <f>IF(DM57="","",ED57-SUM($EG$6:EG57)+SUM($DQ$6:DQ57))</f>
        <v>176951.25</v>
      </c>
      <c r="EN57" s="42">
        <f>IF(DM57="","",EE57-SUM($EH$6:EH57)+SUM($DR$6:DR57))</f>
        <v>582722.5</v>
      </c>
      <c r="EO57" s="152">
        <f t="shared" si="220"/>
        <v>0.46658861405714225</v>
      </c>
      <c r="EP57" s="43"/>
      <c r="EQ57" s="42">
        <f t="shared" si="221"/>
        <v>448050</v>
      </c>
      <c r="ER57" s="42">
        <f t="shared" si="222"/>
        <v>248100</v>
      </c>
      <c r="ES57" s="42">
        <f t="shared" si="238"/>
        <v>3733.75</v>
      </c>
      <c r="ET57" s="42">
        <f t="shared" si="239"/>
        <v>6122.9807692307695</v>
      </c>
      <c r="EU57" s="42">
        <f t="shared" si="223"/>
        <v>190421</v>
      </c>
      <c r="EV57" s="42">
        <f t="shared" si="224"/>
        <v>64172</v>
      </c>
      <c r="EW57" s="42">
        <f>IF(DM57="","",IF(DS57&gt;0,DS57,EQ57-SUM($ES$6:ES57)+SUM($DS$6:DS57)))</f>
        <v>257628.75</v>
      </c>
      <c r="EX57" s="42">
        <f>IF(DM57="","",IF(DT57&gt;0,DT57,ER57-SUM($ET$6:ET57)+SUM($DT$6:DT57)))</f>
        <v>183927.98076923075</v>
      </c>
      <c r="EY57" s="43">
        <f t="shared" si="225"/>
        <v>0.74134615384615377</v>
      </c>
      <c r="EZ57" s="43">
        <f t="shared" si="226"/>
        <v>0.57499999999999996</v>
      </c>
      <c r="FA57" s="43"/>
      <c r="FB57" s="42">
        <f t="shared" si="227"/>
        <v>4700000</v>
      </c>
      <c r="FC57" s="42">
        <f t="shared" si="228"/>
        <v>5182000</v>
      </c>
      <c r="FD57" s="41">
        <f t="shared" si="240"/>
        <v>54833.333333333336</v>
      </c>
      <c r="FE57" s="41">
        <f t="shared" si="241"/>
        <v>32914.583333333336</v>
      </c>
      <c r="FF57" s="42">
        <f t="shared" si="229"/>
        <v>2796500</v>
      </c>
      <c r="FG57" s="42">
        <f t="shared" si="230"/>
        <v>1678644</v>
      </c>
      <c r="FH57" s="42">
        <f>IF(DM57="","",IF(DU57&gt;0,DU57,FB57-SUM($FD$6:FD57)+SUM($DU$6:DU57)))</f>
        <v>1903499.9999999991</v>
      </c>
      <c r="FI57" s="42">
        <f>IF(DM57="","",FC57-SUM($FE$6:FE57)+SUM($DV$6:DV57)-SUM($DW$6:DW57))</f>
        <v>3503356.2500000009</v>
      </c>
      <c r="FJ57" s="152">
        <f t="shared" si="231"/>
        <v>0.54714189941307423</v>
      </c>
      <c r="FN57" s="8"/>
      <c r="FO57" s="8"/>
      <c r="FP57" s="8"/>
      <c r="FQ57" s="8"/>
      <c r="FR57" s="8"/>
      <c r="FS57" s="8"/>
      <c r="FT57" s="8"/>
      <c r="FU57" s="8"/>
      <c r="GC57" s="68">
        <f t="shared" si="195"/>
        <v>52</v>
      </c>
      <c r="GD57" s="78">
        <f t="shared" si="196"/>
        <v>0</v>
      </c>
      <c r="GE57" s="309">
        <f t="shared" si="197"/>
        <v>0.53097407867332869</v>
      </c>
      <c r="GF57" s="78">
        <f t="shared" si="198"/>
        <v>0</v>
      </c>
      <c r="GG57" s="310">
        <f t="shared" si="199"/>
        <v>0.45183853979158439</v>
      </c>
      <c r="GH57" s="78">
        <f t="shared" si="200"/>
        <v>0</v>
      </c>
      <c r="GI57" s="310">
        <f t="shared" si="201"/>
        <v>0.56666666666666665</v>
      </c>
      <c r="GJ57" s="311">
        <f t="shared" si="202"/>
        <v>0</v>
      </c>
      <c r="GK57" s="310">
        <f t="shared" si="203"/>
        <v>0.71666666666666667</v>
      </c>
      <c r="GL57" s="311">
        <f t="shared" si="204"/>
        <v>0</v>
      </c>
      <c r="GM57" s="310">
        <f t="shared" si="205"/>
        <v>0.53826232881333069</v>
      </c>
      <c r="HB57" s="22"/>
      <c r="HE57" s="9"/>
    </row>
    <row r="58" spans="1:251" x14ac:dyDescent="0.2">
      <c r="A58" s="9"/>
      <c r="B58" s="423"/>
      <c r="C58" s="154" t="str">
        <f t="shared" si="180"/>
        <v/>
      </c>
      <c r="D58" s="145"/>
      <c r="E58" s="431"/>
      <c r="F58" s="431"/>
      <c r="G58" s="425" t="str">
        <f t="shared" si="172"/>
        <v/>
      </c>
      <c r="H58" s="144"/>
      <c r="I58" s="426" t="str">
        <f t="shared" si="173"/>
        <v/>
      </c>
      <c r="J58" s="144" t="str">
        <f t="shared" si="174"/>
        <v/>
      </c>
      <c r="K58" s="144" t="str">
        <f t="shared" si="175"/>
        <v/>
      </c>
      <c r="L58" s="144"/>
      <c r="M58" s="425" t="str">
        <f>IF(AND(NOT(C57=""),C58=""),SUM($M$28:M57),IF(C58="","",IF(HZ34="Engine",SUM(IE34:IF34),IE34)))</f>
        <v/>
      </c>
      <c r="N58" s="145"/>
      <c r="O58" s="156" t="str">
        <f t="shared" si="176"/>
        <v/>
      </c>
      <c r="Q58" s="427" t="str">
        <f>IF(AND(NOT(C57=""),C58=""),SUM($Q$28:Q57),IF(C58="","",IF(HZ34="Engine",IE34,"")))</f>
        <v/>
      </c>
      <c r="R58" s="145"/>
      <c r="S58" s="427" t="str">
        <f>IF(AND(NOT(C57=""),C58=""),SUM($S$28:S57),IF(C58="","",IF(HZ34="Engine",IF34,"")))</f>
        <v/>
      </c>
      <c r="U58" s="425" t="str">
        <f t="shared" si="177"/>
        <v/>
      </c>
      <c r="V58" s="144"/>
      <c r="W58" s="425" t="str">
        <f t="shared" si="178"/>
        <v/>
      </c>
      <c r="X58" s="428" t="str">
        <f>IF(AND(NOT(C57=""),C58=""),SUM($X$28:X57),IF(C58="","",IF(HZ34="Engine",-IG34,"")))</f>
        <v/>
      </c>
      <c r="Y58" s="429" t="str">
        <f t="shared" si="179"/>
        <v/>
      </c>
      <c r="Z58" s="26"/>
      <c r="AB58" s="9"/>
      <c r="AH58" s="28"/>
      <c r="AI58" s="28"/>
      <c r="AJ58" s="28"/>
      <c r="AK58" s="28"/>
      <c r="AL58" s="33"/>
      <c r="AM58" s="34"/>
      <c r="AN58" s="33"/>
      <c r="AO58" s="33"/>
      <c r="AP58" s="33"/>
      <c r="AQ58" s="7"/>
      <c r="AR58" s="7"/>
      <c r="AS58" s="7"/>
      <c r="AT58" s="7"/>
      <c r="AU58" s="7"/>
      <c r="AV58" s="7"/>
      <c r="AW58" s="7"/>
      <c r="AX58" s="7"/>
      <c r="AY58" s="7"/>
      <c r="AZ58" s="23"/>
      <c r="BI58" s="23"/>
      <c r="BN58" s="23"/>
      <c r="BQ58" s="23"/>
      <c r="BT58" s="23"/>
      <c r="BW58" s="23"/>
      <c r="BZ58" s="23"/>
      <c r="CA58" s="9"/>
      <c r="CB58" s="9"/>
      <c r="CC58" s="23"/>
      <c r="CF58" s="37"/>
      <c r="CI58" s="23"/>
      <c r="CL58" s="23"/>
      <c r="CM58" s="23"/>
      <c r="CN58" s="23"/>
      <c r="CO58" s="23"/>
      <c r="CP58" s="23"/>
      <c r="CQ58" s="23"/>
      <c r="CR58" s="23"/>
      <c r="CS58" s="23"/>
      <c r="CT58" s="23"/>
      <c r="CU58" s="23"/>
      <c r="CV58" s="23"/>
      <c r="CW58" s="23"/>
      <c r="CX58" s="23"/>
      <c r="CY58" s="23"/>
      <c r="CZ58" s="23"/>
      <c r="DA58" s="23"/>
      <c r="DM58" s="44">
        <f t="shared" si="232"/>
        <v>52</v>
      </c>
      <c r="DN58" s="41">
        <f t="shared" si="206"/>
        <v>12272520</v>
      </c>
      <c r="DO58" s="41">
        <f t="shared" si="233"/>
        <v>122596.73076923078</v>
      </c>
      <c r="DP58" s="42">
        <f t="shared" si="207"/>
        <v>0</v>
      </c>
      <c r="DQ58" s="42">
        <f t="shared" si="208"/>
        <v>0</v>
      </c>
      <c r="DR58" s="42">
        <f t="shared" si="209"/>
        <v>0</v>
      </c>
      <c r="DS58" s="42">
        <f t="shared" si="210"/>
        <v>0</v>
      </c>
      <c r="DT58" s="42">
        <f t="shared" si="211"/>
        <v>0</v>
      </c>
      <c r="DU58" s="42">
        <f t="shared" si="212"/>
        <v>0</v>
      </c>
      <c r="DV58" s="42">
        <f t="shared" si="213"/>
        <v>0</v>
      </c>
      <c r="DW58" s="42">
        <f t="shared" si="214"/>
        <v>0</v>
      </c>
      <c r="DX58" s="42">
        <f t="shared" si="215"/>
        <v>5756130</v>
      </c>
      <c r="DY58" s="42">
        <f>IF(DM58="",DY57,DN58-SUM($DO$6:DO58)+SUM($DP$6:DV58)-SUM($DW$6:DW58))</f>
        <v>6516390</v>
      </c>
      <c r="DZ58" s="43">
        <f t="shared" si="234"/>
        <v>0.53097407867332869</v>
      </c>
      <c r="EA58" s="43"/>
      <c r="EB58" s="43" t="str">
        <f t="shared" si="146"/>
        <v>True</v>
      </c>
      <c r="EC58" s="41">
        <f t="shared" si="132"/>
        <v>185400</v>
      </c>
      <c r="ED58" s="41">
        <f t="shared" si="133"/>
        <v>606690</v>
      </c>
      <c r="EE58" s="41">
        <f t="shared" si="216"/>
        <v>902280</v>
      </c>
      <c r="EF58" s="41">
        <f t="shared" si="235"/>
        <v>10300</v>
      </c>
      <c r="EG58" s="42">
        <f t="shared" si="236"/>
        <v>8426.25</v>
      </c>
      <c r="EH58" s="42">
        <f t="shared" si="237"/>
        <v>6265.8333333333321</v>
      </c>
      <c r="EI58" s="42">
        <f t="shared" si="217"/>
        <v>164800</v>
      </c>
      <c r="EJ58" s="42">
        <f t="shared" si="218"/>
        <v>438165</v>
      </c>
      <c r="EK58" s="42">
        <f t="shared" si="219"/>
        <v>325823</v>
      </c>
      <c r="EL58" s="42">
        <f>IF(DM58="","",EC58-SUM($EF$6:EF58)+SUM($DP$6:DP58))</f>
        <v>20600.000000000116</v>
      </c>
      <c r="EM58" s="42">
        <f>IF(DM58="","",ED58-SUM($EG$6:EG58)+SUM($DQ$6:DQ58))</f>
        <v>168525</v>
      </c>
      <c r="EN58" s="42">
        <f>IF(DM58="","",EE58-SUM($EH$6:EH58)+SUM($DR$6:DR58))</f>
        <v>576456.66666666674</v>
      </c>
      <c r="EO58" s="152">
        <f t="shared" si="220"/>
        <v>0.45183853979158439</v>
      </c>
      <c r="EP58" s="43"/>
      <c r="EQ58" s="42">
        <f t="shared" si="221"/>
        <v>448050</v>
      </c>
      <c r="ER58" s="42">
        <f t="shared" si="222"/>
        <v>248100</v>
      </c>
      <c r="ES58" s="42">
        <f t="shared" si="238"/>
        <v>3733.75</v>
      </c>
      <c r="ET58" s="42">
        <f t="shared" si="239"/>
        <v>6122.9807692307695</v>
      </c>
      <c r="EU58" s="42">
        <f t="shared" si="223"/>
        <v>194155</v>
      </c>
      <c r="EV58" s="42">
        <f t="shared" si="224"/>
        <v>70295</v>
      </c>
      <c r="EW58" s="42">
        <f>IF(DM58="","",IF(DS58&gt;0,DS58,EQ58-SUM($ES$6:ES58)+SUM($DS$6:DS58)))</f>
        <v>253895</v>
      </c>
      <c r="EX58" s="42">
        <f>IF(DM58="","",IF(DT58&gt;0,DT58,ER58-SUM($ET$6:ET58)+SUM($DT$6:DT58)))</f>
        <v>177805</v>
      </c>
      <c r="EY58" s="43">
        <f t="shared" si="225"/>
        <v>0.71666666666666667</v>
      </c>
      <c r="EZ58" s="43">
        <f t="shared" si="226"/>
        <v>0.56666666666666665</v>
      </c>
      <c r="FA58" s="43"/>
      <c r="FB58" s="42">
        <f t="shared" si="227"/>
        <v>4700000</v>
      </c>
      <c r="FC58" s="42">
        <f t="shared" si="228"/>
        <v>5182000</v>
      </c>
      <c r="FD58" s="41">
        <f t="shared" si="240"/>
        <v>54833.333333333336</v>
      </c>
      <c r="FE58" s="41">
        <f t="shared" si="241"/>
        <v>32914.583333333336</v>
      </c>
      <c r="FF58" s="42">
        <f t="shared" si="229"/>
        <v>2851333</v>
      </c>
      <c r="FG58" s="42">
        <f t="shared" si="230"/>
        <v>1711558</v>
      </c>
      <c r="FH58" s="42">
        <f>IF(DM58="","",IF(DU58&gt;0,DU58,FB58-SUM($FD$6:FD58)+SUM($DU$6:DU58)))</f>
        <v>1848666.6666666656</v>
      </c>
      <c r="FI58" s="42">
        <f>IF(DM58="","",FC58-SUM($FE$6:FE58)+SUM($DV$6:DV58)-SUM($DW$6:DW58))</f>
        <v>3470441.6666666679</v>
      </c>
      <c r="FJ58" s="152">
        <f t="shared" si="231"/>
        <v>0.53826232881333069</v>
      </c>
      <c r="FN58" s="8"/>
      <c r="FO58" s="8"/>
      <c r="FP58" s="8"/>
      <c r="FQ58" s="8"/>
      <c r="FR58" s="8"/>
      <c r="FS58" s="8"/>
      <c r="FT58" s="8"/>
      <c r="FU58" s="8"/>
      <c r="GC58" s="68">
        <f t="shared" si="195"/>
        <v>53</v>
      </c>
      <c r="GD58" s="78">
        <f t="shared" si="196"/>
        <v>0</v>
      </c>
      <c r="GE58" s="309">
        <f t="shared" si="197"/>
        <v>0.52098454671337013</v>
      </c>
      <c r="GF58" s="78">
        <f t="shared" si="198"/>
        <v>0</v>
      </c>
      <c r="GG58" s="310">
        <f t="shared" si="199"/>
        <v>0.43708846552602654</v>
      </c>
      <c r="GH58" s="78">
        <f t="shared" si="200"/>
        <v>0</v>
      </c>
      <c r="GI58" s="310">
        <f t="shared" si="201"/>
        <v>0.55833333333333335</v>
      </c>
      <c r="GJ58" s="311">
        <f t="shared" si="202"/>
        <v>0</v>
      </c>
      <c r="GK58" s="310">
        <f t="shared" si="203"/>
        <v>0.69198717948717958</v>
      </c>
      <c r="GL58" s="311">
        <f t="shared" si="204"/>
        <v>0</v>
      </c>
      <c r="GM58" s="310">
        <f t="shared" si="205"/>
        <v>0.52938275821358693</v>
      </c>
      <c r="HB58" s="22"/>
      <c r="HE58" s="9"/>
    </row>
    <row r="59" spans="1:251" x14ac:dyDescent="0.2">
      <c r="B59" s="423"/>
      <c r="C59" s="154" t="str">
        <f t="shared" si="180"/>
        <v/>
      </c>
      <c r="D59" s="145"/>
      <c r="E59" s="431"/>
      <c r="F59" s="431"/>
      <c r="G59" s="425" t="str">
        <f t="shared" si="172"/>
        <v/>
      </c>
      <c r="H59" s="144"/>
      <c r="I59" s="426" t="str">
        <f t="shared" si="173"/>
        <v/>
      </c>
      <c r="J59" s="144" t="str">
        <f t="shared" si="174"/>
        <v/>
      </c>
      <c r="K59" s="144" t="str">
        <f t="shared" si="175"/>
        <v/>
      </c>
      <c r="L59" s="144"/>
      <c r="M59" s="425" t="str">
        <f>IF(AND(NOT(C58=""),C59=""),SUM($M$28:M58),IF(C59="","",IF(HZ35="Engine",SUM(IE35:IF35),IE35)))</f>
        <v/>
      </c>
      <c r="N59" s="145"/>
      <c r="O59" s="156" t="str">
        <f t="shared" si="176"/>
        <v/>
      </c>
      <c r="Q59" s="427" t="str">
        <f>IF(AND(NOT(C58=""),C59=""),SUM($Q$28:Q58),IF(C59="","",IF(HZ35="Engine",IE35,"")))</f>
        <v/>
      </c>
      <c r="R59" s="145"/>
      <c r="S59" s="427" t="str">
        <f>IF(AND(NOT(C58=""),C59=""),SUM($S$28:S58),IF(C59="","",IF(HZ35="Engine",IF35,"")))</f>
        <v/>
      </c>
      <c r="U59" s="425" t="str">
        <f t="shared" si="177"/>
        <v/>
      </c>
      <c r="V59" s="144"/>
      <c r="W59" s="425" t="str">
        <f t="shared" si="178"/>
        <v/>
      </c>
      <c r="X59" s="428" t="str">
        <f>IF(AND(NOT(C58=""),C59=""),SUM($X$28:X58),IF(C59="","",IF(HZ35="Engine",-IG35,"")))</f>
        <v/>
      </c>
      <c r="Y59" s="429" t="str">
        <f t="shared" si="179"/>
        <v/>
      </c>
      <c r="Z59" s="26"/>
      <c r="AB59" s="9"/>
      <c r="AH59" s="28"/>
      <c r="AI59" s="28"/>
      <c r="AJ59" s="28"/>
      <c r="AK59" s="28"/>
      <c r="AL59" s="33"/>
      <c r="AM59" s="34"/>
      <c r="AN59" s="33"/>
      <c r="AO59" s="33"/>
      <c r="AP59" s="33"/>
      <c r="AQ59" s="7"/>
      <c r="AR59" s="7"/>
      <c r="AS59" s="7"/>
      <c r="AT59" s="7"/>
      <c r="AU59" s="7"/>
      <c r="AV59" s="7"/>
      <c r="AW59" s="7"/>
      <c r="AX59" s="7"/>
      <c r="AY59" s="7"/>
      <c r="AZ59" s="23"/>
      <c r="BI59" s="23"/>
      <c r="BN59" s="23"/>
      <c r="BQ59" s="23"/>
      <c r="BT59" s="23"/>
      <c r="BW59" s="23"/>
      <c r="BZ59" s="23"/>
      <c r="CA59" s="9"/>
      <c r="CB59" s="9"/>
      <c r="CC59" s="23"/>
      <c r="CF59" s="37"/>
      <c r="CI59" s="23"/>
      <c r="CL59" s="23"/>
      <c r="CM59" s="23"/>
      <c r="CN59" s="23"/>
      <c r="CO59" s="23"/>
      <c r="CP59" s="23"/>
      <c r="CQ59" s="23"/>
      <c r="CR59" s="23"/>
      <c r="CS59" s="23"/>
      <c r="CT59" s="23"/>
      <c r="CU59" s="23"/>
      <c r="CV59" s="23"/>
      <c r="CW59" s="23"/>
      <c r="CX59" s="23"/>
      <c r="CY59" s="23"/>
      <c r="CZ59" s="23"/>
      <c r="DA59" s="23"/>
      <c r="DM59" s="44">
        <f t="shared" si="232"/>
        <v>53</v>
      </c>
      <c r="DN59" s="41">
        <f t="shared" si="206"/>
        <v>12272520</v>
      </c>
      <c r="DO59" s="41">
        <f t="shared" si="233"/>
        <v>122596.73076923078</v>
      </c>
      <c r="DP59" s="42">
        <f t="shared" si="207"/>
        <v>0</v>
      </c>
      <c r="DQ59" s="42">
        <f t="shared" si="208"/>
        <v>0</v>
      </c>
      <c r="DR59" s="42">
        <f t="shared" si="209"/>
        <v>0</v>
      </c>
      <c r="DS59" s="42">
        <f t="shared" si="210"/>
        <v>0</v>
      </c>
      <c r="DT59" s="42">
        <f t="shared" si="211"/>
        <v>0</v>
      </c>
      <c r="DU59" s="42">
        <f t="shared" si="212"/>
        <v>0</v>
      </c>
      <c r="DV59" s="42">
        <f t="shared" si="213"/>
        <v>0</v>
      </c>
      <c r="DW59" s="42">
        <f t="shared" si="214"/>
        <v>0</v>
      </c>
      <c r="DX59" s="42">
        <f t="shared" si="215"/>
        <v>5878726.730769231</v>
      </c>
      <c r="DY59" s="42">
        <f>IF(DM59="",DY58,DN59-SUM($DO$6:DO59)+SUM($DP$6:DV59)-SUM($DW$6:DW59))</f>
        <v>6393793.269230769</v>
      </c>
      <c r="DZ59" s="43">
        <f t="shared" si="234"/>
        <v>0.52098454671337013</v>
      </c>
      <c r="EA59" s="43"/>
      <c r="EB59" s="43" t="str">
        <f t="shared" si="146"/>
        <v>True</v>
      </c>
      <c r="EC59" s="41">
        <f t="shared" si="132"/>
        <v>185400</v>
      </c>
      <c r="ED59" s="41">
        <f t="shared" si="133"/>
        <v>606690</v>
      </c>
      <c r="EE59" s="41">
        <f t="shared" si="216"/>
        <v>902280</v>
      </c>
      <c r="EF59" s="41">
        <f t="shared" si="235"/>
        <v>10300</v>
      </c>
      <c r="EG59" s="42">
        <f t="shared" si="236"/>
        <v>8426.25</v>
      </c>
      <c r="EH59" s="42">
        <f t="shared" si="237"/>
        <v>6265.8333333333321</v>
      </c>
      <c r="EI59" s="42">
        <f t="shared" si="217"/>
        <v>175100</v>
      </c>
      <c r="EJ59" s="42">
        <f t="shared" si="218"/>
        <v>446591</v>
      </c>
      <c r="EK59" s="42">
        <f t="shared" si="219"/>
        <v>332089</v>
      </c>
      <c r="EL59" s="42">
        <f>IF(DM59="","",EC59-SUM($EF$6:EF59)+SUM($DP$6:DP59))</f>
        <v>10300.000000000116</v>
      </c>
      <c r="EM59" s="42">
        <f>IF(DM59="","",ED59-SUM($EG$6:EG59)+SUM($DQ$6:DQ59))</f>
        <v>160098.75</v>
      </c>
      <c r="EN59" s="42">
        <f>IF(DM59="","",EE59-SUM($EH$6:EH59)+SUM($DR$6:DR59))</f>
        <v>570190.83333333349</v>
      </c>
      <c r="EO59" s="152">
        <f t="shared" si="220"/>
        <v>0.43708846552602654</v>
      </c>
      <c r="EP59" s="43"/>
      <c r="EQ59" s="42">
        <f t="shared" si="221"/>
        <v>448050</v>
      </c>
      <c r="ER59" s="42">
        <f t="shared" si="222"/>
        <v>248100</v>
      </c>
      <c r="ES59" s="42">
        <f t="shared" si="238"/>
        <v>3733.75</v>
      </c>
      <c r="ET59" s="42">
        <f t="shared" si="239"/>
        <v>6122.9807692307695</v>
      </c>
      <c r="EU59" s="42">
        <f t="shared" si="223"/>
        <v>197889</v>
      </c>
      <c r="EV59" s="42">
        <f t="shared" si="224"/>
        <v>76418</v>
      </c>
      <c r="EW59" s="42">
        <f>IF(DM59="","",IF(DS59&gt;0,DS59,EQ59-SUM($ES$6:ES59)+SUM($DS$6:DS59)))</f>
        <v>250161.25</v>
      </c>
      <c r="EX59" s="42">
        <f>IF(DM59="","",IF(DT59&gt;0,DT59,ER59-SUM($ET$6:ET59)+SUM($DT$6:DT59)))</f>
        <v>171682.01923076925</v>
      </c>
      <c r="EY59" s="43">
        <f t="shared" si="225"/>
        <v>0.69198717948717958</v>
      </c>
      <c r="EZ59" s="43">
        <f t="shared" si="226"/>
        <v>0.55833333333333335</v>
      </c>
      <c r="FA59" s="43"/>
      <c r="FB59" s="42">
        <f t="shared" si="227"/>
        <v>4700000</v>
      </c>
      <c r="FC59" s="42">
        <f t="shared" si="228"/>
        <v>5182000</v>
      </c>
      <c r="FD59" s="41">
        <f t="shared" si="240"/>
        <v>54833.333333333336</v>
      </c>
      <c r="FE59" s="41">
        <f t="shared" si="241"/>
        <v>32914.583333333336</v>
      </c>
      <c r="FF59" s="42">
        <f t="shared" si="229"/>
        <v>2906167</v>
      </c>
      <c r="FG59" s="42">
        <f t="shared" si="230"/>
        <v>1744473</v>
      </c>
      <c r="FH59" s="42">
        <f>IF(DM59="","",IF(DU59&gt;0,DU59,FB59-SUM($FD$6:FD59)+SUM($DU$6:DU59)))</f>
        <v>1793833.3333333321</v>
      </c>
      <c r="FI59" s="42">
        <f>IF(DM59="","",FC59-SUM($FE$6:FE59)+SUM($DV$6:DV59)-SUM($DW$6:DW59))</f>
        <v>3437527.0833333344</v>
      </c>
      <c r="FJ59" s="152">
        <f t="shared" si="231"/>
        <v>0.52938275821358693</v>
      </c>
      <c r="FN59" s="8"/>
      <c r="FO59" s="8"/>
      <c r="FP59" s="8"/>
      <c r="FQ59" s="8"/>
      <c r="FR59" s="8"/>
      <c r="FS59" s="8"/>
      <c r="FT59" s="8"/>
      <c r="FU59" s="8"/>
      <c r="GC59" s="68">
        <f t="shared" si="195"/>
        <v>54</v>
      </c>
      <c r="GD59" s="78">
        <f t="shared" si="196"/>
        <v>185400</v>
      </c>
      <c r="GE59" s="309">
        <f t="shared" si="197"/>
        <v>0.52610193655920201</v>
      </c>
      <c r="GF59" s="78">
        <f t="shared" si="198"/>
        <v>185400</v>
      </c>
      <c r="GG59" s="310">
        <f t="shared" si="199"/>
        <v>0.53175959206076606</v>
      </c>
      <c r="GH59" s="78">
        <f t="shared" si="200"/>
        <v>0</v>
      </c>
      <c r="GI59" s="310">
        <f t="shared" si="201"/>
        <v>0.55000000000000004</v>
      </c>
      <c r="GJ59" s="311">
        <f t="shared" si="202"/>
        <v>0</v>
      </c>
      <c r="GK59" s="310">
        <f t="shared" si="203"/>
        <v>0.66730769230769249</v>
      </c>
      <c r="GL59" s="311">
        <f t="shared" si="204"/>
        <v>0</v>
      </c>
      <c r="GM59" s="310">
        <f t="shared" si="205"/>
        <v>0.5205031876138434</v>
      </c>
      <c r="HB59" s="22"/>
      <c r="HE59" s="9"/>
    </row>
    <row r="60" spans="1:251" x14ac:dyDescent="0.2">
      <c r="M60" s="8"/>
      <c r="Z60" s="26"/>
      <c r="AD60" s="155"/>
      <c r="AF60" s="155"/>
      <c r="AH60" s="155"/>
      <c r="AJ60" s="155"/>
      <c r="AK60" s="8"/>
      <c r="AL60" s="8"/>
      <c r="AM60" s="8"/>
      <c r="AN60" s="8"/>
      <c r="AO60" s="8"/>
      <c r="AP60" s="8"/>
      <c r="AQ60" s="7"/>
      <c r="AR60" s="7"/>
      <c r="AS60" s="7"/>
      <c r="AT60" s="7"/>
      <c r="AU60" s="7"/>
      <c r="AV60" s="7"/>
      <c r="AW60" s="7"/>
      <c r="AX60" s="7"/>
      <c r="AY60" s="7"/>
      <c r="AZ60" s="8"/>
      <c r="BI60" s="23"/>
      <c r="BN60" s="23"/>
      <c r="BQ60" s="23"/>
      <c r="BT60" s="23"/>
      <c r="BW60" s="23"/>
      <c r="BZ60" s="23"/>
      <c r="CA60" s="9"/>
      <c r="CB60" s="9"/>
      <c r="CC60" s="23"/>
      <c r="CF60" s="37"/>
      <c r="CI60" s="23"/>
      <c r="CL60" s="23"/>
      <c r="CM60" s="23"/>
      <c r="CN60" s="23"/>
      <c r="CO60" s="23"/>
      <c r="CP60" s="23"/>
      <c r="CQ60" s="23"/>
      <c r="CR60" s="23"/>
      <c r="CS60" s="23"/>
      <c r="CT60" s="23"/>
      <c r="CU60" s="23"/>
      <c r="CV60" s="23"/>
      <c r="CW60" s="23"/>
      <c r="CX60" s="23"/>
      <c r="CY60" s="23"/>
      <c r="CZ60" s="23"/>
      <c r="DA60" s="23"/>
      <c r="DM60" s="44">
        <f t="shared" si="232"/>
        <v>54</v>
      </c>
      <c r="DN60" s="41">
        <f t="shared" si="206"/>
        <v>12272520</v>
      </c>
      <c r="DO60" s="41">
        <f t="shared" si="233"/>
        <v>122596.73076923078</v>
      </c>
      <c r="DP60" s="42">
        <f t="shared" si="207"/>
        <v>185400</v>
      </c>
      <c r="DQ60" s="42">
        <f t="shared" si="208"/>
        <v>0</v>
      </c>
      <c r="DR60" s="42">
        <f t="shared" si="209"/>
        <v>0</v>
      </c>
      <c r="DS60" s="42">
        <f t="shared" si="210"/>
        <v>0</v>
      </c>
      <c r="DT60" s="42">
        <f t="shared" si="211"/>
        <v>0</v>
      </c>
      <c r="DU60" s="42">
        <f t="shared" si="212"/>
        <v>0</v>
      </c>
      <c r="DV60" s="42">
        <f t="shared" si="213"/>
        <v>0</v>
      </c>
      <c r="DW60" s="42">
        <f t="shared" si="214"/>
        <v>0</v>
      </c>
      <c r="DX60" s="42">
        <f t="shared" si="215"/>
        <v>5815923.461538462</v>
      </c>
      <c r="DY60" s="42">
        <f>IF(DM60="",DY59,DN60-SUM($DO$6:DO60)+SUM($DP$6:DV60)-SUM($DW$6:DW60))</f>
        <v>6456596.538461538</v>
      </c>
      <c r="DZ60" s="43">
        <f t="shared" si="234"/>
        <v>0.52610193655920201</v>
      </c>
      <c r="EA60" s="43"/>
      <c r="EB60" s="43" t="str">
        <f t="shared" si="146"/>
        <v>True</v>
      </c>
      <c r="EC60" s="41">
        <f t="shared" si="132"/>
        <v>185400</v>
      </c>
      <c r="ED60" s="41">
        <f t="shared" si="133"/>
        <v>606690</v>
      </c>
      <c r="EE60" s="41">
        <f t="shared" si="216"/>
        <v>902280</v>
      </c>
      <c r="EF60" s="41">
        <f t="shared" si="235"/>
        <v>10300</v>
      </c>
      <c r="EG60" s="42">
        <f t="shared" si="236"/>
        <v>8426.25</v>
      </c>
      <c r="EH60" s="42">
        <f t="shared" si="237"/>
        <v>6265.8333333333321</v>
      </c>
      <c r="EI60" s="42">
        <f t="shared" si="217"/>
        <v>0</v>
      </c>
      <c r="EJ60" s="42">
        <f t="shared" si="218"/>
        <v>455018</v>
      </c>
      <c r="EK60" s="42">
        <f t="shared" si="219"/>
        <v>338355</v>
      </c>
      <c r="EL60" s="42">
        <f>IF(DM60="","",EC60-SUM($EF$6:EF60)+SUM($DP$6:DP60))</f>
        <v>185400.00000000012</v>
      </c>
      <c r="EM60" s="42">
        <f>IF(DM60="","",ED60-SUM($EG$6:EG60)+SUM($DQ$6:DQ60))</f>
        <v>151672.5</v>
      </c>
      <c r="EN60" s="42">
        <f>IF(DM60="","",EE60-SUM($EH$6:EH60)+SUM($DR$6:DR60))</f>
        <v>563925.00000000012</v>
      </c>
      <c r="EO60" s="152">
        <f t="shared" si="220"/>
        <v>0.53175959206076606</v>
      </c>
      <c r="EP60" s="43"/>
      <c r="EQ60" s="42">
        <f t="shared" si="221"/>
        <v>448050</v>
      </c>
      <c r="ER60" s="42">
        <f t="shared" si="222"/>
        <v>248100</v>
      </c>
      <c r="ES60" s="42">
        <f t="shared" si="238"/>
        <v>3733.75</v>
      </c>
      <c r="ET60" s="42">
        <f t="shared" si="239"/>
        <v>6122.9807692307695</v>
      </c>
      <c r="EU60" s="42">
        <f t="shared" si="223"/>
        <v>201623</v>
      </c>
      <c r="EV60" s="42">
        <f t="shared" si="224"/>
        <v>82541</v>
      </c>
      <c r="EW60" s="42">
        <f>IF(DM60="","",IF(DS60&gt;0,DS60,EQ60-SUM($ES$6:ES60)+SUM($DS$6:DS60)))</f>
        <v>246427.5</v>
      </c>
      <c r="EX60" s="42">
        <f>IF(DM60="","",IF(DT60&gt;0,DT60,ER60-SUM($ET$6:ET60)+SUM($DT$6:DT60)))</f>
        <v>165559.0384615385</v>
      </c>
      <c r="EY60" s="43">
        <f t="shared" si="225"/>
        <v>0.66730769230769249</v>
      </c>
      <c r="EZ60" s="43">
        <f t="shared" si="226"/>
        <v>0.55000000000000004</v>
      </c>
      <c r="FA60" s="43"/>
      <c r="FB60" s="42">
        <f t="shared" si="227"/>
        <v>4700000</v>
      </c>
      <c r="FC60" s="42">
        <f t="shared" si="228"/>
        <v>5182000</v>
      </c>
      <c r="FD60" s="41">
        <f t="shared" si="240"/>
        <v>54833.333333333336</v>
      </c>
      <c r="FE60" s="41">
        <f t="shared" si="241"/>
        <v>32914.583333333336</v>
      </c>
      <c r="FF60" s="42">
        <f t="shared" si="229"/>
        <v>2961000</v>
      </c>
      <c r="FG60" s="42">
        <f t="shared" si="230"/>
        <v>1777388</v>
      </c>
      <c r="FH60" s="42">
        <f>IF(DM60="","",IF(DU60&gt;0,DU60,FB60-SUM($FD$6:FD60)+SUM($DU$6:DU60)))</f>
        <v>1738999.9999999986</v>
      </c>
      <c r="FI60" s="42">
        <f>IF(DM60="","",FC60-SUM($FE$6:FE60)+SUM($DV$6:DV60)-SUM($DW$6:DW60))</f>
        <v>3404612.5000000009</v>
      </c>
      <c r="FJ60" s="152">
        <f t="shared" si="231"/>
        <v>0.5205031876138434</v>
      </c>
      <c r="FN60" s="8"/>
      <c r="FO60" s="8"/>
      <c r="FP60" s="8"/>
      <c r="FQ60" s="8"/>
      <c r="FR60" s="8"/>
      <c r="FS60" s="8"/>
      <c r="FT60" s="8"/>
      <c r="FU60" s="8"/>
      <c r="GC60" s="68">
        <f t="shared" si="195"/>
        <v>55</v>
      </c>
      <c r="GD60" s="78">
        <f t="shared" si="196"/>
        <v>0</v>
      </c>
      <c r="GE60" s="309">
        <f t="shared" si="197"/>
        <v>0.51733049089076133</v>
      </c>
      <c r="GF60" s="78">
        <f t="shared" si="198"/>
        <v>0</v>
      </c>
      <c r="GG60" s="310">
        <f t="shared" si="199"/>
        <v>0.52566019545974685</v>
      </c>
      <c r="GH60" s="78">
        <f t="shared" si="200"/>
        <v>0</v>
      </c>
      <c r="GI60" s="310">
        <f t="shared" si="201"/>
        <v>0.54166666666666663</v>
      </c>
      <c r="GJ60" s="311">
        <f t="shared" si="202"/>
        <v>0</v>
      </c>
      <c r="GK60" s="310">
        <f t="shared" si="203"/>
        <v>0.6426282051282054</v>
      </c>
      <c r="GL60" s="311">
        <f t="shared" si="204"/>
        <v>0</v>
      </c>
      <c r="GM60" s="310">
        <f t="shared" si="205"/>
        <v>0.51162361701409964</v>
      </c>
      <c r="HB60" s="22"/>
      <c r="HE60" s="9"/>
    </row>
    <row r="61" spans="1:251" ht="3" customHeight="1" x14ac:dyDescent="0.2">
      <c r="Z61" s="26"/>
      <c r="AD61" s="155"/>
      <c r="AF61" s="155"/>
      <c r="AH61" s="155"/>
      <c r="AJ61" s="155"/>
      <c r="AK61" s="8"/>
      <c r="AL61" s="8"/>
      <c r="AM61" s="8"/>
      <c r="AN61" s="8"/>
      <c r="AO61" s="8"/>
      <c r="AP61" s="8"/>
      <c r="AQ61" s="7"/>
      <c r="AR61" s="7"/>
      <c r="AS61" s="7"/>
      <c r="AT61" s="7"/>
      <c r="AU61" s="7"/>
      <c r="AV61" s="7"/>
      <c r="AW61" s="7"/>
      <c r="AX61" s="7"/>
      <c r="AY61" s="7"/>
      <c r="AZ61" s="8"/>
      <c r="BI61" s="23"/>
      <c r="BN61" s="23"/>
      <c r="BQ61" s="23"/>
      <c r="BT61" s="23"/>
      <c r="BW61" s="23"/>
      <c r="BZ61" s="23"/>
      <c r="CA61" s="9"/>
      <c r="CB61" s="9"/>
      <c r="CC61" s="23"/>
      <c r="CF61" s="37"/>
      <c r="CI61" s="23"/>
      <c r="CL61" s="23"/>
      <c r="CM61" s="23"/>
      <c r="CN61" s="23"/>
      <c r="CO61" s="23"/>
      <c r="CP61" s="23"/>
      <c r="CQ61" s="23"/>
      <c r="CR61" s="23"/>
      <c r="CS61" s="23"/>
      <c r="CT61" s="23"/>
      <c r="CU61" s="23"/>
      <c r="CV61" s="23"/>
      <c r="CW61" s="23"/>
      <c r="CX61" s="23"/>
      <c r="CY61" s="23"/>
      <c r="CZ61" s="23"/>
      <c r="DA61" s="23"/>
      <c r="DM61" s="44">
        <f t="shared" si="232"/>
        <v>55</v>
      </c>
      <c r="DN61" s="41">
        <f t="shared" si="206"/>
        <v>12307520</v>
      </c>
      <c r="DO61" s="41">
        <f t="shared" si="233"/>
        <v>124541.17521367522</v>
      </c>
      <c r="DP61" s="42">
        <f t="shared" si="207"/>
        <v>0</v>
      </c>
      <c r="DQ61" s="42">
        <f t="shared" si="208"/>
        <v>0</v>
      </c>
      <c r="DR61" s="42">
        <f t="shared" si="209"/>
        <v>0</v>
      </c>
      <c r="DS61" s="42">
        <f t="shared" si="210"/>
        <v>0</v>
      </c>
      <c r="DT61" s="42">
        <f t="shared" si="211"/>
        <v>0</v>
      </c>
      <c r="DU61" s="42">
        <f t="shared" si="212"/>
        <v>0</v>
      </c>
      <c r="DV61" s="42">
        <f t="shared" si="213"/>
        <v>0</v>
      </c>
      <c r="DW61" s="42">
        <f t="shared" si="214"/>
        <v>0</v>
      </c>
      <c r="DX61" s="42">
        <f t="shared" si="215"/>
        <v>5940464.636752137</v>
      </c>
      <c r="DY61" s="42">
        <f>IF(DM61="",DY60,DN61-SUM($DO$6:DO61)+SUM($DP$6:DV61)-SUM($DW$6:DW61))</f>
        <v>6367055.363247863</v>
      </c>
      <c r="DZ61" s="43">
        <f t="shared" si="234"/>
        <v>0.51733049089076133</v>
      </c>
      <c r="EA61" s="43"/>
      <c r="EB61" s="43" t="str">
        <f t="shared" si="146"/>
        <v>False</v>
      </c>
      <c r="EC61" s="41">
        <f t="shared" si="132"/>
        <v>220400</v>
      </c>
      <c r="ED61" s="41">
        <f t="shared" si="133"/>
        <v>606690</v>
      </c>
      <c r="EE61" s="41">
        <f t="shared" si="216"/>
        <v>902280</v>
      </c>
      <c r="EF61" s="41">
        <f t="shared" si="235"/>
        <v>12244.444444444445</v>
      </c>
      <c r="EG61" s="42">
        <f t="shared" si="236"/>
        <v>8426.25</v>
      </c>
      <c r="EH61" s="42">
        <f t="shared" si="237"/>
        <v>6265.8333333333321</v>
      </c>
      <c r="EI61" s="42">
        <f t="shared" si="217"/>
        <v>12244</v>
      </c>
      <c r="EJ61" s="42">
        <f t="shared" si="218"/>
        <v>463444</v>
      </c>
      <c r="EK61" s="42">
        <f t="shared" si="219"/>
        <v>344621</v>
      </c>
      <c r="EL61" s="42">
        <f>IF(DM61="","",EC61-SUM($EF$6:EF61)+SUM($DP$6:DP61))</f>
        <v>208155.55555555562</v>
      </c>
      <c r="EM61" s="42">
        <f>IF(DM61="","",ED61-SUM($EG$6:EG61)+SUM($DQ$6:DQ61))</f>
        <v>143246.25</v>
      </c>
      <c r="EN61" s="42">
        <f>IF(DM61="","",EE61-SUM($EH$6:EH61)+SUM($DR$6:DR61))</f>
        <v>557659.16666666674</v>
      </c>
      <c r="EO61" s="152">
        <f t="shared" si="220"/>
        <v>0.52566019545974685</v>
      </c>
      <c r="EP61" s="43"/>
      <c r="EQ61" s="42">
        <f t="shared" si="221"/>
        <v>448050</v>
      </c>
      <c r="ER61" s="42">
        <f t="shared" si="222"/>
        <v>248100</v>
      </c>
      <c r="ES61" s="42">
        <f t="shared" si="238"/>
        <v>3733.75</v>
      </c>
      <c r="ET61" s="42">
        <f t="shared" si="239"/>
        <v>6122.9807692307695</v>
      </c>
      <c r="EU61" s="42">
        <f t="shared" si="223"/>
        <v>205356</v>
      </c>
      <c r="EV61" s="42">
        <f t="shared" si="224"/>
        <v>88664</v>
      </c>
      <c r="EW61" s="42">
        <f>IF(DM61="","",IF(DS61&gt;0,DS61,EQ61-SUM($ES$6:ES61)+SUM($DS$6:DS61)))</f>
        <v>242693.75</v>
      </c>
      <c r="EX61" s="42">
        <f>IF(DM61="","",IF(DT61&gt;0,DT61,ER61-SUM($ET$6:ET61)+SUM($DT$6:DT61)))</f>
        <v>159436.05769230775</v>
      </c>
      <c r="EY61" s="43">
        <f t="shared" si="225"/>
        <v>0.6426282051282054</v>
      </c>
      <c r="EZ61" s="43">
        <f t="shared" si="226"/>
        <v>0.54166666666666663</v>
      </c>
      <c r="FA61" s="43"/>
      <c r="FB61" s="42">
        <f t="shared" si="227"/>
        <v>4700000</v>
      </c>
      <c r="FC61" s="42">
        <f t="shared" si="228"/>
        <v>5182000</v>
      </c>
      <c r="FD61" s="41">
        <f t="shared" si="240"/>
        <v>54833.333333333336</v>
      </c>
      <c r="FE61" s="41">
        <f t="shared" si="241"/>
        <v>32914.583333333336</v>
      </c>
      <c r="FF61" s="42">
        <f t="shared" si="229"/>
        <v>3015833</v>
      </c>
      <c r="FG61" s="42">
        <f t="shared" si="230"/>
        <v>1810302</v>
      </c>
      <c r="FH61" s="42">
        <f>IF(DM61="","",IF(DU61&gt;0,DU61,FB61-SUM($FD$6:FD61)+SUM($DU$6:DU61)))</f>
        <v>1684166.6666666651</v>
      </c>
      <c r="FI61" s="42">
        <f>IF(DM61="","",FC61-SUM($FE$6:FE61)+SUM($DV$6:DV61)-SUM($DW$6:DW61))</f>
        <v>3371697.9166666679</v>
      </c>
      <c r="FJ61" s="152">
        <f t="shared" si="231"/>
        <v>0.51162361701409964</v>
      </c>
      <c r="FN61" s="8"/>
      <c r="FO61" s="8"/>
      <c r="FP61" s="8"/>
      <c r="FQ61" s="8"/>
      <c r="FR61" s="8"/>
      <c r="FS61" s="8"/>
      <c r="FT61" s="8"/>
      <c r="FU61" s="8"/>
      <c r="GC61" s="68">
        <f t="shared" si="195"/>
        <v>56</v>
      </c>
      <c r="GD61" s="78">
        <f t="shared" si="196"/>
        <v>0</v>
      </c>
      <c r="GE61" s="309">
        <f t="shared" si="197"/>
        <v>0.50721137873708011</v>
      </c>
      <c r="GF61" s="78">
        <f t="shared" si="198"/>
        <v>0</v>
      </c>
      <c r="GG61" s="310">
        <f t="shared" si="199"/>
        <v>0.51008427603372597</v>
      </c>
      <c r="GH61" s="78">
        <f t="shared" si="200"/>
        <v>0</v>
      </c>
      <c r="GI61" s="310">
        <f t="shared" si="201"/>
        <v>0.53333333333333333</v>
      </c>
      <c r="GJ61" s="311">
        <f t="shared" si="202"/>
        <v>0</v>
      </c>
      <c r="GK61" s="310">
        <f t="shared" si="203"/>
        <v>0.6179487179487182</v>
      </c>
      <c r="GL61" s="311">
        <f t="shared" si="204"/>
        <v>0</v>
      </c>
      <c r="GM61" s="310">
        <f t="shared" si="205"/>
        <v>0.50274404641435599</v>
      </c>
      <c r="HB61" s="22"/>
      <c r="HE61" s="9"/>
    </row>
    <row r="62" spans="1:251" ht="3" customHeight="1" x14ac:dyDescent="0.2">
      <c r="A62" s="9"/>
      <c r="B62" s="9"/>
      <c r="W62" s="8"/>
      <c r="X62" s="8"/>
      <c r="Z62" s="26"/>
      <c r="AD62" s="155"/>
      <c r="AF62" s="155"/>
      <c r="AH62" s="155"/>
      <c r="AJ62" s="155"/>
      <c r="AK62" s="8"/>
      <c r="AL62" s="8"/>
      <c r="AM62" s="8"/>
      <c r="AN62" s="8"/>
      <c r="AO62" s="8"/>
      <c r="AP62" s="8"/>
      <c r="AQ62" s="7"/>
      <c r="AR62" s="7"/>
      <c r="AS62" s="7"/>
      <c r="AT62" s="7"/>
      <c r="AU62" s="7"/>
      <c r="AV62" s="7"/>
      <c r="AW62" s="7"/>
      <c r="AX62" s="7"/>
      <c r="AY62" s="7"/>
      <c r="AZ62" s="8"/>
      <c r="BI62" s="23"/>
      <c r="BN62" s="23"/>
      <c r="BQ62" s="23"/>
      <c r="BT62" s="23"/>
      <c r="BW62" s="23"/>
      <c r="BZ62" s="23"/>
      <c r="CA62" s="9"/>
      <c r="CB62" s="9"/>
      <c r="CC62" s="23"/>
      <c r="CF62" s="37"/>
      <c r="CI62" s="23"/>
      <c r="CL62" s="23"/>
      <c r="CM62" s="23"/>
      <c r="CN62" s="23"/>
      <c r="CO62" s="23"/>
      <c r="CP62" s="23"/>
      <c r="CQ62" s="23"/>
      <c r="CR62" s="23"/>
      <c r="CS62" s="23"/>
      <c r="CT62" s="23"/>
      <c r="CU62" s="23"/>
      <c r="CV62" s="23"/>
      <c r="CW62" s="23"/>
      <c r="CX62" s="23"/>
      <c r="CY62" s="23"/>
      <c r="CZ62" s="23"/>
      <c r="DA62" s="23"/>
      <c r="DM62" s="44">
        <f t="shared" si="232"/>
        <v>56</v>
      </c>
      <c r="DN62" s="41">
        <f t="shared" si="206"/>
        <v>12307520</v>
      </c>
      <c r="DO62" s="41">
        <f t="shared" si="233"/>
        <v>124541.17521367522</v>
      </c>
      <c r="DP62" s="42">
        <f t="shared" si="207"/>
        <v>0</v>
      </c>
      <c r="DQ62" s="42">
        <f t="shared" si="208"/>
        <v>0</v>
      </c>
      <c r="DR62" s="42">
        <f t="shared" si="209"/>
        <v>0</v>
      </c>
      <c r="DS62" s="42">
        <f t="shared" si="210"/>
        <v>0</v>
      </c>
      <c r="DT62" s="42">
        <f t="shared" si="211"/>
        <v>0</v>
      </c>
      <c r="DU62" s="42">
        <f t="shared" si="212"/>
        <v>0</v>
      </c>
      <c r="DV62" s="42">
        <f t="shared" si="213"/>
        <v>0</v>
      </c>
      <c r="DW62" s="42">
        <f t="shared" si="214"/>
        <v>0</v>
      </c>
      <c r="DX62" s="42">
        <f t="shared" si="215"/>
        <v>6065005.811965812</v>
      </c>
      <c r="DY62" s="42">
        <f>IF(DM62="",DY61,DN62-SUM($DO$6:DO62)+SUM($DP$6:DV62)-SUM($DW$6:DW62))</f>
        <v>6242514.188034188</v>
      </c>
      <c r="DZ62" s="43">
        <f t="shared" si="234"/>
        <v>0.50721137873708011</v>
      </c>
      <c r="EA62" s="43"/>
      <c r="EB62" s="43" t="str">
        <f t="shared" si="146"/>
        <v>False</v>
      </c>
      <c r="EC62" s="41">
        <f t="shared" si="132"/>
        <v>220400</v>
      </c>
      <c r="ED62" s="41">
        <f t="shared" si="133"/>
        <v>606690</v>
      </c>
      <c r="EE62" s="41">
        <f t="shared" si="216"/>
        <v>902280</v>
      </c>
      <c r="EF62" s="41">
        <f t="shared" si="235"/>
        <v>12244.444444444445</v>
      </c>
      <c r="EG62" s="42">
        <f t="shared" si="236"/>
        <v>8426.25</v>
      </c>
      <c r="EH62" s="42">
        <f t="shared" si="237"/>
        <v>6265.8333333333321</v>
      </c>
      <c r="EI62" s="42">
        <f t="shared" si="217"/>
        <v>24489</v>
      </c>
      <c r="EJ62" s="42">
        <f t="shared" si="218"/>
        <v>471870</v>
      </c>
      <c r="EK62" s="42">
        <f t="shared" si="219"/>
        <v>350887</v>
      </c>
      <c r="EL62" s="42">
        <f>IF(DM62="","",EC62-SUM($EF$6:EF62)+SUM($DP$6:DP62))</f>
        <v>195911.11111111112</v>
      </c>
      <c r="EM62" s="42">
        <f>IF(DM62="","",ED62-SUM($EG$6:EG62)+SUM($DQ$6:DQ62))</f>
        <v>134820</v>
      </c>
      <c r="EN62" s="42">
        <f>IF(DM62="","",EE62-SUM($EH$6:EH62)+SUM($DR$6:DR62))</f>
        <v>551393.33333333349</v>
      </c>
      <c r="EO62" s="152">
        <f t="shared" si="220"/>
        <v>0.51008427603372597</v>
      </c>
      <c r="EP62" s="43"/>
      <c r="EQ62" s="42">
        <f t="shared" si="221"/>
        <v>448050</v>
      </c>
      <c r="ER62" s="42">
        <f t="shared" si="222"/>
        <v>248100</v>
      </c>
      <c r="ES62" s="42">
        <f t="shared" si="238"/>
        <v>3733.75</v>
      </c>
      <c r="ET62" s="42">
        <f t="shared" si="239"/>
        <v>6122.9807692307695</v>
      </c>
      <c r="EU62" s="42">
        <f t="shared" si="223"/>
        <v>209090</v>
      </c>
      <c r="EV62" s="42">
        <f t="shared" si="224"/>
        <v>94787</v>
      </c>
      <c r="EW62" s="42">
        <f>IF(DM62="","",IF(DS62&gt;0,DS62,EQ62-SUM($ES$6:ES62)+SUM($DS$6:DS62)))</f>
        <v>238960</v>
      </c>
      <c r="EX62" s="42">
        <f>IF(DM62="","",IF(DT62&gt;0,DT62,ER62-SUM($ET$6:ET62)+SUM($DT$6:DT62)))</f>
        <v>153313.07692307699</v>
      </c>
      <c r="EY62" s="43">
        <f t="shared" si="225"/>
        <v>0.6179487179487182</v>
      </c>
      <c r="EZ62" s="43">
        <f t="shared" si="226"/>
        <v>0.53333333333333333</v>
      </c>
      <c r="FA62" s="43"/>
      <c r="FB62" s="42">
        <f t="shared" si="227"/>
        <v>4700000</v>
      </c>
      <c r="FC62" s="42">
        <f t="shared" si="228"/>
        <v>5182000</v>
      </c>
      <c r="FD62" s="41">
        <f t="shared" si="240"/>
        <v>54833.333333333336</v>
      </c>
      <c r="FE62" s="41">
        <f t="shared" si="241"/>
        <v>32914.583333333336</v>
      </c>
      <c r="FF62" s="42">
        <f t="shared" si="229"/>
        <v>3070667</v>
      </c>
      <c r="FG62" s="42">
        <f t="shared" si="230"/>
        <v>1843217</v>
      </c>
      <c r="FH62" s="42">
        <f>IF(DM62="","",IF(DU62&gt;0,DU62,FB62-SUM($FD$6:FD62)+SUM($DU$6:DU62)))</f>
        <v>1629333.3333333316</v>
      </c>
      <c r="FI62" s="42">
        <f>IF(DM62="","",FC62-SUM($FE$6:FE62)+SUM($DV$6:DV62)-SUM($DW$6:DW62))</f>
        <v>3338783.3333333349</v>
      </c>
      <c r="FJ62" s="152">
        <f t="shared" si="231"/>
        <v>0.50274404641435599</v>
      </c>
      <c r="FN62" s="8"/>
      <c r="FO62" s="8"/>
      <c r="FP62" s="8"/>
      <c r="FQ62" s="8"/>
      <c r="FR62" s="8"/>
      <c r="FS62" s="8"/>
      <c r="FT62" s="8"/>
      <c r="FU62" s="8"/>
      <c r="GC62" s="68">
        <f t="shared" si="195"/>
        <v>57</v>
      </c>
      <c r="GD62" s="78">
        <f t="shared" si="196"/>
        <v>0</v>
      </c>
      <c r="GE62" s="309">
        <f t="shared" si="197"/>
        <v>0.49709226658339883</v>
      </c>
      <c r="GF62" s="78">
        <f t="shared" si="198"/>
        <v>0</v>
      </c>
      <c r="GG62" s="310">
        <f t="shared" si="199"/>
        <v>0.49450835660770504</v>
      </c>
      <c r="GH62" s="78">
        <f t="shared" si="200"/>
        <v>0</v>
      </c>
      <c r="GI62" s="310">
        <f t="shared" si="201"/>
        <v>0.52500000000000002</v>
      </c>
      <c r="GJ62" s="311">
        <f t="shared" si="202"/>
        <v>0</v>
      </c>
      <c r="GK62" s="310">
        <f t="shared" si="203"/>
        <v>0.5932692307692311</v>
      </c>
      <c r="GL62" s="311">
        <f t="shared" si="204"/>
        <v>0</v>
      </c>
      <c r="GM62" s="310">
        <f t="shared" si="205"/>
        <v>0.4938644758146124</v>
      </c>
      <c r="HB62" s="22"/>
      <c r="HE62" s="9"/>
    </row>
    <row r="63" spans="1:251" ht="3" customHeight="1" x14ac:dyDescent="0.2">
      <c r="A63" s="9"/>
      <c r="B63" s="9"/>
      <c r="AD63" s="155"/>
      <c r="AF63" s="155"/>
      <c r="AH63" s="155"/>
      <c r="AJ63" s="155"/>
      <c r="AK63" s="8"/>
      <c r="AL63" s="8"/>
      <c r="AM63" s="8"/>
      <c r="AN63" s="8"/>
      <c r="AO63" s="8"/>
      <c r="AP63" s="8"/>
      <c r="AQ63" s="7"/>
      <c r="AR63" s="7"/>
      <c r="AS63" s="7"/>
      <c r="AT63" s="7"/>
      <c r="AU63" s="7"/>
      <c r="AV63" s="7"/>
      <c r="AW63" s="7"/>
      <c r="AX63" s="7"/>
      <c r="AY63" s="7"/>
      <c r="AZ63" s="8"/>
      <c r="BI63" s="23"/>
      <c r="BN63" s="23"/>
      <c r="BQ63" s="23"/>
      <c r="BT63" s="23"/>
      <c r="BW63" s="23"/>
      <c r="BZ63" s="23"/>
      <c r="CA63" s="9"/>
      <c r="CB63" s="9"/>
      <c r="CC63" s="23"/>
      <c r="CF63" s="37"/>
      <c r="CI63" s="23"/>
      <c r="CL63" s="23"/>
      <c r="CM63" s="23"/>
      <c r="CN63" s="23"/>
      <c r="CO63" s="23"/>
      <c r="CP63" s="23"/>
      <c r="CQ63" s="23"/>
      <c r="CR63" s="23"/>
      <c r="CS63" s="23"/>
      <c r="CT63" s="23"/>
      <c r="CU63" s="23"/>
      <c r="CV63" s="23"/>
      <c r="CW63" s="23"/>
      <c r="CX63" s="23"/>
      <c r="CY63" s="23"/>
      <c r="CZ63" s="23"/>
      <c r="DA63" s="23"/>
      <c r="DM63" s="44">
        <f t="shared" si="232"/>
        <v>57</v>
      </c>
      <c r="DN63" s="41">
        <f t="shared" si="206"/>
        <v>12307520</v>
      </c>
      <c r="DO63" s="41">
        <f t="shared" si="233"/>
        <v>124541.17521367522</v>
      </c>
      <c r="DP63" s="42">
        <f t="shared" si="207"/>
        <v>0</v>
      </c>
      <c r="DQ63" s="42">
        <f t="shared" si="208"/>
        <v>0</v>
      </c>
      <c r="DR63" s="42">
        <f t="shared" si="209"/>
        <v>0</v>
      </c>
      <c r="DS63" s="42">
        <f t="shared" si="210"/>
        <v>0</v>
      </c>
      <c r="DT63" s="42">
        <f t="shared" si="211"/>
        <v>0</v>
      </c>
      <c r="DU63" s="42">
        <f t="shared" si="212"/>
        <v>0</v>
      </c>
      <c r="DV63" s="42">
        <f t="shared" si="213"/>
        <v>0</v>
      </c>
      <c r="DW63" s="42">
        <f t="shared" si="214"/>
        <v>0</v>
      </c>
      <c r="DX63" s="42">
        <f t="shared" si="215"/>
        <v>6189546.987179487</v>
      </c>
      <c r="DY63" s="42">
        <f>IF(DM63="",DY62,DN63-SUM($DO$6:DO63)+SUM($DP$6:DV63)-SUM($DW$6:DW63))</f>
        <v>6117973.012820513</v>
      </c>
      <c r="DZ63" s="43">
        <f t="shared" si="234"/>
        <v>0.49709226658339883</v>
      </c>
      <c r="EA63" s="43"/>
      <c r="EB63" s="43" t="str">
        <f t="shared" si="146"/>
        <v>False</v>
      </c>
      <c r="EC63" s="41">
        <f t="shared" si="132"/>
        <v>220400</v>
      </c>
      <c r="ED63" s="41">
        <f t="shared" si="133"/>
        <v>606690</v>
      </c>
      <c r="EE63" s="41">
        <f t="shared" si="216"/>
        <v>902280</v>
      </c>
      <c r="EF63" s="41">
        <f t="shared" si="235"/>
        <v>12244.444444444445</v>
      </c>
      <c r="EG63" s="42">
        <f t="shared" si="236"/>
        <v>8426.25</v>
      </c>
      <c r="EH63" s="42">
        <f t="shared" si="237"/>
        <v>6265.8333333333321</v>
      </c>
      <c r="EI63" s="42">
        <f t="shared" si="217"/>
        <v>36733</v>
      </c>
      <c r="EJ63" s="42">
        <f t="shared" si="218"/>
        <v>480296</v>
      </c>
      <c r="EK63" s="42">
        <f t="shared" si="219"/>
        <v>357153</v>
      </c>
      <c r="EL63" s="42">
        <f>IF(DM63="","",EC63-SUM($EF$6:EF63)+SUM($DP$6:DP63))</f>
        <v>183666.66666666663</v>
      </c>
      <c r="EM63" s="42">
        <f>IF(DM63="","",ED63-SUM($EG$6:EG63)+SUM($DQ$6:DQ63))</f>
        <v>126393.75</v>
      </c>
      <c r="EN63" s="42">
        <f>IF(DM63="","",EE63-SUM($EH$6:EH63)+SUM($DR$6:DR63))</f>
        <v>545127.50000000023</v>
      </c>
      <c r="EO63" s="152">
        <f t="shared" si="220"/>
        <v>0.49450835660770504</v>
      </c>
      <c r="EP63" s="43"/>
      <c r="EQ63" s="42">
        <f t="shared" si="221"/>
        <v>448050</v>
      </c>
      <c r="ER63" s="42">
        <f t="shared" si="222"/>
        <v>248100</v>
      </c>
      <c r="ES63" s="42">
        <f t="shared" si="238"/>
        <v>3733.75</v>
      </c>
      <c r="ET63" s="42">
        <f t="shared" si="239"/>
        <v>6122.9807692307695</v>
      </c>
      <c r="EU63" s="42">
        <f t="shared" si="223"/>
        <v>212824</v>
      </c>
      <c r="EV63" s="42">
        <f t="shared" si="224"/>
        <v>100910</v>
      </c>
      <c r="EW63" s="42">
        <f>IF(DM63="","",IF(DS63&gt;0,DS63,EQ63-SUM($ES$6:ES63)+SUM($DS$6:DS63)))</f>
        <v>235226.25</v>
      </c>
      <c r="EX63" s="42">
        <f>IF(DM63="","",IF(DT63&gt;0,DT63,ER63-SUM($ET$6:ET63)+SUM($DT$6:DT63)))</f>
        <v>147190.09615384624</v>
      </c>
      <c r="EY63" s="43">
        <f t="shared" si="225"/>
        <v>0.5932692307692311</v>
      </c>
      <c r="EZ63" s="43">
        <f t="shared" si="226"/>
        <v>0.52500000000000002</v>
      </c>
      <c r="FA63" s="43"/>
      <c r="FB63" s="42">
        <f t="shared" si="227"/>
        <v>4700000</v>
      </c>
      <c r="FC63" s="42">
        <f t="shared" si="228"/>
        <v>5182000</v>
      </c>
      <c r="FD63" s="41">
        <f t="shared" si="240"/>
        <v>54833.333333333336</v>
      </c>
      <c r="FE63" s="41">
        <f t="shared" si="241"/>
        <v>32914.583333333336</v>
      </c>
      <c r="FF63" s="42">
        <f t="shared" si="229"/>
        <v>3125500</v>
      </c>
      <c r="FG63" s="42">
        <f t="shared" si="230"/>
        <v>1876131</v>
      </c>
      <c r="FH63" s="42">
        <f>IF(DM63="","",IF(DU63&gt;0,DU63,FB63-SUM($FD$6:FD63)+SUM($DU$6:DU63)))</f>
        <v>1574499.9999999981</v>
      </c>
      <c r="FI63" s="42">
        <f>IF(DM63="","",FC63-SUM($FE$6:FE63)+SUM($DV$6:DV63)-SUM($DW$6:DW63))</f>
        <v>3305868.7500000014</v>
      </c>
      <c r="FJ63" s="152">
        <f t="shared" si="231"/>
        <v>0.4938644758146124</v>
      </c>
      <c r="FN63" s="8"/>
      <c r="FO63" s="8"/>
      <c r="FP63" s="8"/>
      <c r="FQ63" s="8"/>
      <c r="FR63" s="8"/>
      <c r="FS63" s="8"/>
      <c r="FT63" s="8"/>
      <c r="FU63" s="8"/>
      <c r="GC63" s="68">
        <f t="shared" si="195"/>
        <v>58</v>
      </c>
      <c r="GD63" s="78">
        <f t="shared" si="196"/>
        <v>0</v>
      </c>
      <c r="GE63" s="309">
        <f t="shared" si="197"/>
        <v>0.48697315442971761</v>
      </c>
      <c r="GF63" s="78">
        <f t="shared" si="198"/>
        <v>0</v>
      </c>
      <c r="GG63" s="310">
        <f t="shared" si="199"/>
        <v>0.4789324371816841</v>
      </c>
      <c r="GH63" s="78">
        <f t="shared" si="200"/>
        <v>0</v>
      </c>
      <c r="GI63" s="310">
        <f t="shared" si="201"/>
        <v>0.51666666666666672</v>
      </c>
      <c r="GJ63" s="311">
        <f t="shared" si="202"/>
        <v>0</v>
      </c>
      <c r="GK63" s="310">
        <f t="shared" si="203"/>
        <v>0.56858974358974401</v>
      </c>
      <c r="GL63" s="311">
        <f t="shared" si="204"/>
        <v>0</v>
      </c>
      <c r="GM63" s="310">
        <f t="shared" si="205"/>
        <v>0.48498490521486864</v>
      </c>
      <c r="HB63" s="22"/>
      <c r="HE63" s="9"/>
    </row>
    <row r="64" spans="1:251" ht="12" x14ac:dyDescent="0.2">
      <c r="A64" s="6"/>
      <c r="B64" s="243"/>
      <c r="C64" s="366" t="str">
        <f>C10</f>
        <v>MAINTENANCE STATUS FORECASTER</v>
      </c>
      <c r="D64" s="245"/>
      <c r="E64" s="369"/>
      <c r="F64" s="369"/>
      <c r="G64" s="369"/>
      <c r="H64" s="369"/>
      <c r="I64" s="369"/>
      <c r="J64" s="369"/>
      <c r="K64" s="369"/>
      <c r="L64" s="369"/>
      <c r="M64" s="369"/>
      <c r="N64" s="369"/>
      <c r="O64" s="369"/>
      <c r="P64" s="369"/>
      <c r="Q64" s="369"/>
      <c r="R64" s="369"/>
      <c r="S64" s="369"/>
      <c r="T64" s="369"/>
      <c r="U64" s="369"/>
      <c r="V64" s="369"/>
      <c r="W64" s="369"/>
      <c r="X64" s="369"/>
      <c r="Y64" s="370"/>
      <c r="AD64" s="155"/>
      <c r="AF64" s="155"/>
      <c r="AH64" s="155"/>
      <c r="AJ64" s="155"/>
      <c r="AK64" s="8"/>
      <c r="AL64" s="8"/>
      <c r="AM64" s="8"/>
      <c r="AN64" s="8"/>
      <c r="AO64" s="8"/>
      <c r="AP64" s="8"/>
      <c r="AQ64" s="7"/>
      <c r="AR64" s="7"/>
      <c r="AS64" s="7"/>
      <c r="AT64" s="7"/>
      <c r="AU64" s="7"/>
      <c r="AV64" s="7"/>
      <c r="AW64" s="7"/>
      <c r="AX64" s="7"/>
      <c r="AY64" s="7"/>
      <c r="AZ64" s="8"/>
      <c r="BI64" s="23"/>
      <c r="BN64" s="23"/>
      <c r="BQ64" s="23"/>
      <c r="BT64" s="23"/>
      <c r="BW64" s="23"/>
      <c r="BZ64" s="23"/>
      <c r="CA64" s="9"/>
      <c r="CB64" s="9"/>
      <c r="CC64" s="23"/>
      <c r="CF64" s="37"/>
      <c r="CI64" s="23"/>
      <c r="CL64" s="23"/>
      <c r="CM64" s="23"/>
      <c r="CN64" s="23"/>
      <c r="CO64" s="23"/>
      <c r="CP64" s="23"/>
      <c r="CQ64" s="23"/>
      <c r="CR64" s="23"/>
      <c r="CS64" s="23"/>
      <c r="CT64" s="23"/>
      <c r="CU64" s="23"/>
      <c r="CV64" s="23"/>
      <c r="CW64" s="23"/>
      <c r="CX64" s="23"/>
      <c r="CY64" s="23"/>
      <c r="CZ64" s="23"/>
      <c r="DA64" s="23"/>
      <c r="DM64" s="44">
        <f t="shared" si="232"/>
        <v>58</v>
      </c>
      <c r="DN64" s="41">
        <f t="shared" si="206"/>
        <v>12307520</v>
      </c>
      <c r="DO64" s="41">
        <f t="shared" si="233"/>
        <v>124541.17521367522</v>
      </c>
      <c r="DP64" s="42">
        <f t="shared" si="207"/>
        <v>0</v>
      </c>
      <c r="DQ64" s="42">
        <f t="shared" si="208"/>
        <v>0</v>
      </c>
      <c r="DR64" s="42">
        <f t="shared" si="209"/>
        <v>0</v>
      </c>
      <c r="DS64" s="42">
        <f t="shared" si="210"/>
        <v>0</v>
      </c>
      <c r="DT64" s="42">
        <f t="shared" si="211"/>
        <v>0</v>
      </c>
      <c r="DU64" s="42">
        <f t="shared" si="212"/>
        <v>0</v>
      </c>
      <c r="DV64" s="42">
        <f t="shared" si="213"/>
        <v>0</v>
      </c>
      <c r="DW64" s="42">
        <f t="shared" si="214"/>
        <v>0</v>
      </c>
      <c r="DX64" s="42">
        <f t="shared" si="215"/>
        <v>6314088.162393162</v>
      </c>
      <c r="DY64" s="42">
        <f>IF(DM64="",DY63,DN64-SUM($DO$6:DO64)+SUM($DP$6:DV64)-SUM($DW$6:DW64))</f>
        <v>5993431.837606838</v>
      </c>
      <c r="DZ64" s="43">
        <f t="shared" si="234"/>
        <v>0.48697315442971761</v>
      </c>
      <c r="EA64" s="43"/>
      <c r="EB64" s="43" t="str">
        <f t="shared" si="146"/>
        <v>False</v>
      </c>
      <c r="EC64" s="41">
        <f t="shared" si="132"/>
        <v>220400</v>
      </c>
      <c r="ED64" s="41">
        <f t="shared" si="133"/>
        <v>606690</v>
      </c>
      <c r="EE64" s="41">
        <f t="shared" si="216"/>
        <v>902280</v>
      </c>
      <c r="EF64" s="41">
        <f t="shared" si="235"/>
        <v>12244.444444444445</v>
      </c>
      <c r="EG64" s="42">
        <f t="shared" si="236"/>
        <v>8426.25</v>
      </c>
      <c r="EH64" s="42">
        <f t="shared" si="237"/>
        <v>6265.8333333333321</v>
      </c>
      <c r="EI64" s="42">
        <f t="shared" si="217"/>
        <v>48978</v>
      </c>
      <c r="EJ64" s="42">
        <f t="shared" si="218"/>
        <v>488723</v>
      </c>
      <c r="EK64" s="42">
        <f t="shared" si="219"/>
        <v>363418</v>
      </c>
      <c r="EL64" s="42">
        <f>IF(DM64="","",EC64-SUM($EF$6:EF64)+SUM($DP$6:DP64))</f>
        <v>171422.22222222213</v>
      </c>
      <c r="EM64" s="42">
        <f>IF(DM64="","",ED64-SUM($EG$6:EG64)+SUM($DQ$6:DQ64))</f>
        <v>117967.5</v>
      </c>
      <c r="EN64" s="42">
        <f>IF(DM64="","",EE64-SUM($EH$6:EH64)+SUM($DR$6:DR64))</f>
        <v>538861.66666666686</v>
      </c>
      <c r="EO64" s="152">
        <f t="shared" si="220"/>
        <v>0.4789324371816841</v>
      </c>
      <c r="EP64" s="43"/>
      <c r="EQ64" s="42">
        <f t="shared" si="221"/>
        <v>448050</v>
      </c>
      <c r="ER64" s="42">
        <f t="shared" si="222"/>
        <v>248100</v>
      </c>
      <c r="ES64" s="42">
        <f t="shared" si="238"/>
        <v>3733.75</v>
      </c>
      <c r="ET64" s="42">
        <f t="shared" si="239"/>
        <v>6122.9807692307695</v>
      </c>
      <c r="EU64" s="42">
        <f t="shared" si="223"/>
        <v>216558</v>
      </c>
      <c r="EV64" s="42">
        <f t="shared" si="224"/>
        <v>107033</v>
      </c>
      <c r="EW64" s="42">
        <f>IF(DM64="","",IF(DS64&gt;0,DS64,EQ64-SUM($ES$6:ES64)+SUM($DS$6:DS64)))</f>
        <v>231492.5</v>
      </c>
      <c r="EX64" s="42">
        <f>IF(DM64="","",IF(DT64&gt;0,DT64,ER64-SUM($ET$6:ET64)+SUM($DT$6:DT64)))</f>
        <v>141067.11538461549</v>
      </c>
      <c r="EY64" s="43">
        <f t="shared" si="225"/>
        <v>0.56858974358974401</v>
      </c>
      <c r="EZ64" s="43">
        <f t="shared" si="226"/>
        <v>0.51666666666666672</v>
      </c>
      <c r="FA64" s="43"/>
      <c r="FB64" s="42">
        <f t="shared" si="227"/>
        <v>4700000</v>
      </c>
      <c r="FC64" s="42">
        <f t="shared" si="228"/>
        <v>5182000</v>
      </c>
      <c r="FD64" s="41">
        <f t="shared" si="240"/>
        <v>54833.333333333336</v>
      </c>
      <c r="FE64" s="41">
        <f t="shared" si="241"/>
        <v>32914.583333333336</v>
      </c>
      <c r="FF64" s="42">
        <f t="shared" si="229"/>
        <v>3180333</v>
      </c>
      <c r="FG64" s="42">
        <f t="shared" si="230"/>
        <v>1909046</v>
      </c>
      <c r="FH64" s="42">
        <f>IF(DM64="","",IF(DU64&gt;0,DU64,FB64-SUM($FD$6:FD64)+SUM($DU$6:DU64)))</f>
        <v>1519666.6666666646</v>
      </c>
      <c r="FI64" s="42">
        <f>IF(DM64="","",FC64-SUM($FE$6:FE64)+SUM($DV$6:DV64)-SUM($DW$6:DW64))</f>
        <v>3272954.1666666679</v>
      </c>
      <c r="FJ64" s="152">
        <f t="shared" si="231"/>
        <v>0.48498490521486864</v>
      </c>
      <c r="FN64" s="8"/>
      <c r="FO64" s="8"/>
      <c r="FP64" s="8"/>
      <c r="FQ64" s="8"/>
      <c r="FR64" s="8"/>
      <c r="FS64" s="8"/>
      <c r="FT64" s="8"/>
      <c r="FU64" s="8"/>
      <c r="GC64" s="68">
        <f t="shared" si="195"/>
        <v>59</v>
      </c>
      <c r="GD64" s="78">
        <f t="shared" si="196"/>
        <v>0</v>
      </c>
      <c r="GE64" s="309">
        <f t="shared" si="197"/>
        <v>0.47685404227603634</v>
      </c>
      <c r="GF64" s="78">
        <f t="shared" si="198"/>
        <v>0</v>
      </c>
      <c r="GG64" s="310">
        <f t="shared" si="199"/>
        <v>0.46335651775566311</v>
      </c>
      <c r="GH64" s="78">
        <f t="shared" si="200"/>
        <v>0</v>
      </c>
      <c r="GI64" s="310">
        <f t="shared" si="201"/>
        <v>0.5083333333333333</v>
      </c>
      <c r="GJ64" s="311">
        <f t="shared" si="202"/>
        <v>0</v>
      </c>
      <c r="GK64" s="310">
        <f t="shared" si="203"/>
        <v>0.54391025641025692</v>
      </c>
      <c r="GL64" s="311">
        <f t="shared" si="204"/>
        <v>0</v>
      </c>
      <c r="GM64" s="310">
        <f t="shared" si="205"/>
        <v>0.47610533461512505</v>
      </c>
      <c r="HB64" s="22"/>
      <c r="HE64" s="9"/>
    </row>
    <row r="65" spans="1:213" x14ac:dyDescent="0.2">
      <c r="A65" s="6"/>
      <c r="B65" s="432"/>
      <c r="C65" s="514" t="s">
        <v>480</v>
      </c>
      <c r="D65" s="515"/>
      <c r="E65" s="515"/>
      <c r="F65" s="515"/>
      <c r="G65" s="515"/>
      <c r="H65" s="515"/>
      <c r="I65" s="515"/>
      <c r="J65" s="541" t="s">
        <v>481</v>
      </c>
      <c r="K65" s="542"/>
      <c r="L65" s="542"/>
      <c r="M65" s="542"/>
      <c r="N65" s="542"/>
      <c r="O65" s="542"/>
      <c r="P65" s="542"/>
      <c r="Q65" s="542"/>
      <c r="R65" s="542"/>
      <c r="S65" s="542"/>
      <c r="T65" s="542"/>
      <c r="U65" s="542"/>
      <c r="V65" s="542"/>
      <c r="W65" s="543" t="s">
        <v>482</v>
      </c>
      <c r="X65" s="542"/>
      <c r="Y65" s="544"/>
      <c r="AD65" s="155"/>
      <c r="AF65" s="155"/>
      <c r="AH65" s="155"/>
      <c r="AJ65" s="155"/>
      <c r="AK65" s="8"/>
      <c r="AL65" s="8"/>
      <c r="AM65" s="8"/>
      <c r="AN65" s="8"/>
      <c r="AO65" s="8"/>
      <c r="AP65" s="8"/>
      <c r="AQ65" s="7"/>
      <c r="AR65" s="7"/>
      <c r="AS65" s="7"/>
      <c r="AT65" s="7"/>
      <c r="AU65" s="7"/>
      <c r="AV65" s="7"/>
      <c r="AW65" s="7"/>
      <c r="AX65" s="7"/>
      <c r="AY65" s="7"/>
      <c r="AZ65" s="8"/>
      <c r="BI65" s="23"/>
      <c r="BN65" s="23"/>
      <c r="BQ65" s="23"/>
      <c r="BT65" s="23"/>
      <c r="BW65" s="23"/>
      <c r="BZ65" s="23"/>
      <c r="CA65" s="9"/>
      <c r="CB65" s="9"/>
      <c r="CC65" s="23"/>
      <c r="CF65" s="37"/>
      <c r="CI65" s="23"/>
      <c r="CL65" s="23"/>
      <c r="CM65" s="23"/>
      <c r="CN65" s="23"/>
      <c r="CO65" s="23"/>
      <c r="CP65" s="23"/>
      <c r="CQ65" s="23"/>
      <c r="CR65" s="23"/>
      <c r="CS65" s="23"/>
      <c r="CT65" s="23"/>
      <c r="CU65" s="23"/>
      <c r="CV65" s="23"/>
      <c r="CW65" s="23"/>
      <c r="CX65" s="23"/>
      <c r="CY65" s="23"/>
      <c r="CZ65" s="23"/>
      <c r="DA65" s="23"/>
      <c r="DM65" s="44">
        <f t="shared" si="232"/>
        <v>59</v>
      </c>
      <c r="DN65" s="41">
        <f t="shared" si="206"/>
        <v>12307520</v>
      </c>
      <c r="DO65" s="41">
        <f t="shared" si="233"/>
        <v>124541.17521367522</v>
      </c>
      <c r="DP65" s="42">
        <f t="shared" si="207"/>
        <v>0</v>
      </c>
      <c r="DQ65" s="42">
        <f t="shared" si="208"/>
        <v>0</v>
      </c>
      <c r="DR65" s="42">
        <f t="shared" si="209"/>
        <v>0</v>
      </c>
      <c r="DS65" s="42">
        <f t="shared" si="210"/>
        <v>0</v>
      </c>
      <c r="DT65" s="42">
        <f t="shared" si="211"/>
        <v>0</v>
      </c>
      <c r="DU65" s="42">
        <f t="shared" si="212"/>
        <v>0</v>
      </c>
      <c r="DV65" s="42">
        <f t="shared" si="213"/>
        <v>0</v>
      </c>
      <c r="DW65" s="42">
        <f t="shared" si="214"/>
        <v>0</v>
      </c>
      <c r="DX65" s="42">
        <f t="shared" si="215"/>
        <v>6438629.337606837</v>
      </c>
      <c r="DY65" s="42">
        <f>IF(DM65="",DY64,DN65-SUM($DO$6:DO65)+SUM($DP$6:DV65)-SUM($DW$6:DW65))</f>
        <v>5868890.662393163</v>
      </c>
      <c r="DZ65" s="43">
        <f t="shared" si="234"/>
        <v>0.47685404227603634</v>
      </c>
      <c r="EA65" s="43"/>
      <c r="EB65" s="43" t="str">
        <f t="shared" si="146"/>
        <v>False</v>
      </c>
      <c r="EC65" s="41">
        <f t="shared" si="132"/>
        <v>220400</v>
      </c>
      <c r="ED65" s="41">
        <f t="shared" si="133"/>
        <v>606690</v>
      </c>
      <c r="EE65" s="41">
        <f t="shared" si="216"/>
        <v>902280</v>
      </c>
      <c r="EF65" s="41">
        <f t="shared" si="235"/>
        <v>12244.444444444445</v>
      </c>
      <c r="EG65" s="42">
        <f t="shared" si="236"/>
        <v>8426.25</v>
      </c>
      <c r="EH65" s="42">
        <f t="shared" si="237"/>
        <v>6265.8333333333321</v>
      </c>
      <c r="EI65" s="42">
        <f t="shared" si="217"/>
        <v>61222</v>
      </c>
      <c r="EJ65" s="42">
        <f t="shared" si="218"/>
        <v>497149</v>
      </c>
      <c r="EK65" s="42">
        <f t="shared" si="219"/>
        <v>369684</v>
      </c>
      <c r="EL65" s="42">
        <f>IF(DM65="","",EC65-SUM($EF$6:EF65)+SUM($DP$6:DP65))</f>
        <v>159177.77777777764</v>
      </c>
      <c r="EM65" s="42">
        <f>IF(DM65="","",ED65-SUM($EG$6:EG65)+SUM($DQ$6:DQ65))</f>
        <v>109541.25</v>
      </c>
      <c r="EN65" s="42">
        <f>IF(DM65="","",EE65-SUM($EH$6:EH65)+SUM($DR$6:DR65))</f>
        <v>532595.83333333349</v>
      </c>
      <c r="EO65" s="152">
        <f t="shared" si="220"/>
        <v>0.46335651775566311</v>
      </c>
      <c r="EP65" s="43"/>
      <c r="EQ65" s="42">
        <f t="shared" si="221"/>
        <v>448050</v>
      </c>
      <c r="ER65" s="42">
        <f t="shared" si="222"/>
        <v>248100</v>
      </c>
      <c r="ES65" s="42">
        <f t="shared" si="238"/>
        <v>3733.75</v>
      </c>
      <c r="ET65" s="42">
        <f t="shared" si="239"/>
        <v>6122.9807692307695</v>
      </c>
      <c r="EU65" s="42">
        <f t="shared" si="223"/>
        <v>220291</v>
      </c>
      <c r="EV65" s="42">
        <f t="shared" si="224"/>
        <v>113156</v>
      </c>
      <c r="EW65" s="42">
        <f>IF(DM65="","",IF(DS65&gt;0,DS65,EQ65-SUM($ES$6:ES65)+SUM($DS$6:DS65)))</f>
        <v>227758.75</v>
      </c>
      <c r="EX65" s="42">
        <f>IF(DM65="","",IF(DT65&gt;0,DT65,ER65-SUM($ET$6:ET65)+SUM($DT$6:DT65)))</f>
        <v>134944.13461538474</v>
      </c>
      <c r="EY65" s="43">
        <f t="shared" si="225"/>
        <v>0.54391025641025692</v>
      </c>
      <c r="EZ65" s="43">
        <f t="shared" si="226"/>
        <v>0.5083333333333333</v>
      </c>
      <c r="FA65" s="43"/>
      <c r="FB65" s="42">
        <f t="shared" si="227"/>
        <v>4700000</v>
      </c>
      <c r="FC65" s="42">
        <f t="shared" si="228"/>
        <v>5182000</v>
      </c>
      <c r="FD65" s="41">
        <f t="shared" si="240"/>
        <v>54833.333333333336</v>
      </c>
      <c r="FE65" s="41">
        <f t="shared" si="241"/>
        <v>32914.583333333336</v>
      </c>
      <c r="FF65" s="42">
        <f t="shared" si="229"/>
        <v>3235167</v>
      </c>
      <c r="FG65" s="42">
        <f t="shared" si="230"/>
        <v>1941960</v>
      </c>
      <c r="FH65" s="42">
        <f>IF(DM65="","",IF(DU65&gt;0,DU65,FB65-SUM($FD$6:FD65)+SUM($DU$6:DU65)))</f>
        <v>1464833.3333333312</v>
      </c>
      <c r="FI65" s="42">
        <f>IF(DM65="","",FC65-SUM($FE$6:FE65)+SUM($DV$6:DV65)-SUM($DW$6:DW65))</f>
        <v>3240039.5833333349</v>
      </c>
      <c r="FJ65" s="152">
        <f t="shared" si="231"/>
        <v>0.47610533461512505</v>
      </c>
      <c r="FN65" s="8"/>
      <c r="FO65" s="8"/>
      <c r="FP65" s="8"/>
      <c r="FQ65" s="8"/>
      <c r="FR65" s="8"/>
      <c r="FS65" s="8"/>
      <c r="FT65" s="8"/>
      <c r="FU65" s="8"/>
      <c r="GC65" s="68">
        <f t="shared" si="195"/>
        <v>60</v>
      </c>
      <c r="GD65" s="78">
        <f t="shared" si="196"/>
        <v>0</v>
      </c>
      <c r="GE65" s="309">
        <f t="shared" si="197"/>
        <v>0.46673493012235512</v>
      </c>
      <c r="GF65" s="78">
        <f t="shared" si="198"/>
        <v>0</v>
      </c>
      <c r="GG65" s="310">
        <f t="shared" si="199"/>
        <v>0.44778059832964223</v>
      </c>
      <c r="GH65" s="78">
        <f t="shared" si="200"/>
        <v>0</v>
      </c>
      <c r="GI65" s="310">
        <f t="shared" si="201"/>
        <v>0.5</v>
      </c>
      <c r="GJ65" s="311">
        <f t="shared" si="202"/>
        <v>0</v>
      </c>
      <c r="GK65" s="310">
        <f t="shared" si="203"/>
        <v>0.51923076923076983</v>
      </c>
      <c r="GL65" s="311">
        <f t="shared" si="204"/>
        <v>0</v>
      </c>
      <c r="GM65" s="310">
        <f t="shared" si="205"/>
        <v>0.46722576401538152</v>
      </c>
      <c r="HB65" s="22"/>
      <c r="HE65" s="9"/>
    </row>
    <row r="66" spans="1:213" x14ac:dyDescent="0.2">
      <c r="A66" s="6"/>
      <c r="B66" s="432"/>
      <c r="C66" s="441" t="s">
        <v>284</v>
      </c>
      <c r="D66" s="441" t="s">
        <v>268</v>
      </c>
      <c r="E66" s="441" t="s">
        <v>344</v>
      </c>
      <c r="F66" s="558" t="s">
        <v>349</v>
      </c>
      <c r="G66" s="518"/>
      <c r="H66" s="516" t="s">
        <v>348</v>
      </c>
      <c r="I66" s="517"/>
      <c r="J66" s="442" t="s">
        <v>341</v>
      </c>
      <c r="K66" s="518" t="s">
        <v>375</v>
      </c>
      <c r="L66" s="519"/>
      <c r="M66" s="518" t="s">
        <v>264</v>
      </c>
      <c r="N66" s="520"/>
      <c r="O66" s="433" t="s">
        <v>347</v>
      </c>
      <c r="P66" s="434"/>
      <c r="Q66" s="433" t="s">
        <v>346</v>
      </c>
      <c r="R66" s="434"/>
      <c r="S66" s="433" t="s">
        <v>345</v>
      </c>
      <c r="T66" s="434"/>
      <c r="U66" s="518" t="s">
        <v>79</v>
      </c>
      <c r="V66" s="521"/>
      <c r="W66" s="519" t="s">
        <v>342</v>
      </c>
      <c r="X66" s="520"/>
      <c r="Y66" s="441" t="s">
        <v>343</v>
      </c>
      <c r="AD66" s="155"/>
      <c r="AF66" s="155"/>
      <c r="AH66" s="155"/>
      <c r="AJ66" s="155"/>
      <c r="AK66" s="8"/>
      <c r="AL66" s="8"/>
      <c r="AM66" s="8"/>
      <c r="AN66" s="8"/>
      <c r="AO66" s="8"/>
      <c r="AP66" s="8"/>
      <c r="AQ66" s="7"/>
      <c r="AR66" s="7"/>
      <c r="AS66" s="7"/>
      <c r="AT66" s="7"/>
      <c r="AU66" s="7"/>
      <c r="AV66" s="7"/>
      <c r="AW66" s="7"/>
      <c r="AX66" s="7"/>
      <c r="AY66" s="7"/>
      <c r="AZ66" s="8"/>
      <c r="BI66" s="23"/>
      <c r="BN66" s="23"/>
      <c r="BQ66" s="23"/>
      <c r="BT66" s="23"/>
      <c r="BW66" s="23"/>
      <c r="BZ66" s="23"/>
      <c r="CA66" s="9"/>
      <c r="CB66" s="9"/>
      <c r="CC66" s="23"/>
      <c r="CF66" s="37"/>
      <c r="CI66" s="23"/>
      <c r="CL66" s="23"/>
      <c r="CM66" s="23"/>
      <c r="CN66" s="23"/>
      <c r="CO66" s="23"/>
      <c r="CP66" s="23"/>
      <c r="CQ66" s="23"/>
      <c r="CR66" s="23"/>
      <c r="CS66" s="23"/>
      <c r="CT66" s="23"/>
      <c r="CU66" s="23"/>
      <c r="CV66" s="23"/>
      <c r="CW66" s="23"/>
      <c r="CX66" s="23"/>
      <c r="CY66" s="23"/>
      <c r="CZ66" s="23"/>
      <c r="DA66" s="23"/>
      <c r="DM66" s="44">
        <f t="shared" si="232"/>
        <v>60</v>
      </c>
      <c r="DN66" s="41">
        <f t="shared" si="206"/>
        <v>12307520</v>
      </c>
      <c r="DO66" s="41">
        <f t="shared" si="233"/>
        <v>124541.17521367522</v>
      </c>
      <c r="DP66" s="42">
        <f t="shared" si="207"/>
        <v>0</v>
      </c>
      <c r="DQ66" s="42">
        <f t="shared" si="208"/>
        <v>0</v>
      </c>
      <c r="DR66" s="42">
        <f t="shared" si="209"/>
        <v>0</v>
      </c>
      <c r="DS66" s="42">
        <f t="shared" si="210"/>
        <v>0</v>
      </c>
      <c r="DT66" s="42">
        <f t="shared" si="211"/>
        <v>0</v>
      </c>
      <c r="DU66" s="42">
        <f t="shared" si="212"/>
        <v>0</v>
      </c>
      <c r="DV66" s="42">
        <f t="shared" si="213"/>
        <v>0</v>
      </c>
      <c r="DW66" s="42">
        <f t="shared" si="214"/>
        <v>0</v>
      </c>
      <c r="DX66" s="42">
        <f t="shared" si="215"/>
        <v>6563170.5128205121</v>
      </c>
      <c r="DY66" s="42">
        <f>IF(DM66="",DY65,DN66-SUM($DO$6:DO66)+SUM($DP$6:DV66)-SUM($DW$6:DW66))</f>
        <v>5744349.4871794879</v>
      </c>
      <c r="DZ66" s="43">
        <f t="shared" si="234"/>
        <v>0.46673493012235512</v>
      </c>
      <c r="EA66" s="43"/>
      <c r="EB66" s="43" t="str">
        <f t="shared" si="146"/>
        <v>False</v>
      </c>
      <c r="EC66" s="41">
        <f t="shared" si="132"/>
        <v>220400</v>
      </c>
      <c r="ED66" s="41">
        <f t="shared" si="133"/>
        <v>606690</v>
      </c>
      <c r="EE66" s="41">
        <f t="shared" si="216"/>
        <v>902280</v>
      </c>
      <c r="EF66" s="41">
        <f t="shared" si="235"/>
        <v>12244.444444444445</v>
      </c>
      <c r="EG66" s="42">
        <f t="shared" si="236"/>
        <v>8426.25</v>
      </c>
      <c r="EH66" s="42">
        <f t="shared" si="237"/>
        <v>6265.8333333333321</v>
      </c>
      <c r="EI66" s="42">
        <f t="shared" si="217"/>
        <v>73467</v>
      </c>
      <c r="EJ66" s="42">
        <f t="shared" si="218"/>
        <v>505575</v>
      </c>
      <c r="EK66" s="42">
        <f t="shared" si="219"/>
        <v>375950</v>
      </c>
      <c r="EL66" s="42">
        <f>IF(DM66="","",EC66-SUM($EF$6:EF66)+SUM($DP$6:DP66))</f>
        <v>146933.33333333314</v>
      </c>
      <c r="EM66" s="42">
        <f>IF(DM66="","",ED66-SUM($EG$6:EG66)+SUM($DQ$6:DQ66))</f>
        <v>101115</v>
      </c>
      <c r="EN66" s="42">
        <f>IF(DM66="","",EE66-SUM($EH$6:EH66)+SUM($DR$6:DR66))</f>
        <v>526330.00000000023</v>
      </c>
      <c r="EO66" s="152">
        <f t="shared" si="220"/>
        <v>0.44778059832964223</v>
      </c>
      <c r="EP66" s="43"/>
      <c r="EQ66" s="42">
        <f t="shared" si="221"/>
        <v>448050</v>
      </c>
      <c r="ER66" s="42">
        <f t="shared" si="222"/>
        <v>248100</v>
      </c>
      <c r="ES66" s="42">
        <f t="shared" si="238"/>
        <v>3733.75</v>
      </c>
      <c r="ET66" s="42">
        <f t="shared" si="239"/>
        <v>6122.9807692307695</v>
      </c>
      <c r="EU66" s="42">
        <f t="shared" si="223"/>
        <v>224025</v>
      </c>
      <c r="EV66" s="42">
        <f t="shared" si="224"/>
        <v>119279</v>
      </c>
      <c r="EW66" s="42">
        <f>IF(DM66="","",IF(DS66&gt;0,DS66,EQ66-SUM($ES$6:ES66)+SUM($DS$6:DS66)))</f>
        <v>224025</v>
      </c>
      <c r="EX66" s="42">
        <f>IF(DM66="","",IF(DT66&gt;0,DT66,ER66-SUM($ET$6:ET66)+SUM($DT$6:DT66)))</f>
        <v>128821.15384615399</v>
      </c>
      <c r="EY66" s="43">
        <f t="shared" si="225"/>
        <v>0.51923076923076983</v>
      </c>
      <c r="EZ66" s="43">
        <f t="shared" si="226"/>
        <v>0.5</v>
      </c>
      <c r="FA66" s="43"/>
      <c r="FB66" s="42">
        <f t="shared" si="227"/>
        <v>4700000</v>
      </c>
      <c r="FC66" s="42">
        <f t="shared" si="228"/>
        <v>5182000</v>
      </c>
      <c r="FD66" s="41">
        <f t="shared" si="240"/>
        <v>54833.333333333336</v>
      </c>
      <c r="FE66" s="41">
        <f t="shared" si="241"/>
        <v>32914.583333333336</v>
      </c>
      <c r="FF66" s="42">
        <f t="shared" si="229"/>
        <v>3290000</v>
      </c>
      <c r="FG66" s="42">
        <f t="shared" si="230"/>
        <v>1974875</v>
      </c>
      <c r="FH66" s="42">
        <f>IF(DM66="","",IF(DU66&gt;0,DU66,FB66-SUM($FD$6:FD66)+SUM($DU$6:DU66)))</f>
        <v>1409999.9999999977</v>
      </c>
      <c r="FI66" s="42">
        <f>IF(DM66="","",FC66-SUM($FE$6:FE66)+SUM($DV$6:DV66)-SUM($DW$6:DW66))</f>
        <v>3207125.0000000019</v>
      </c>
      <c r="FJ66" s="152">
        <f t="shared" si="231"/>
        <v>0.46722576401538152</v>
      </c>
      <c r="FN66" s="8"/>
      <c r="FO66" s="8"/>
      <c r="FP66" s="8"/>
      <c r="FQ66" s="8"/>
      <c r="FR66" s="8"/>
      <c r="FS66" s="8"/>
      <c r="FT66" s="8"/>
      <c r="FU66" s="8"/>
      <c r="GC66" s="68">
        <f t="shared" si="195"/>
        <v>61</v>
      </c>
      <c r="GD66" s="78">
        <f t="shared" si="196"/>
        <v>0</v>
      </c>
      <c r="GE66" s="309">
        <f t="shared" si="197"/>
        <v>0.45661581796867384</v>
      </c>
      <c r="GF66" s="78">
        <f t="shared" si="198"/>
        <v>0</v>
      </c>
      <c r="GG66" s="310">
        <f t="shared" si="199"/>
        <v>0.43220467890362124</v>
      </c>
      <c r="GH66" s="78">
        <f t="shared" si="200"/>
        <v>0</v>
      </c>
      <c r="GI66" s="310">
        <f t="shared" si="201"/>
        <v>0.49166666666666664</v>
      </c>
      <c r="GJ66" s="311">
        <f t="shared" si="202"/>
        <v>0</v>
      </c>
      <c r="GK66" s="310">
        <f t="shared" si="203"/>
        <v>0.49455128205128268</v>
      </c>
      <c r="GL66" s="311">
        <f t="shared" si="204"/>
        <v>0</v>
      </c>
      <c r="GM66" s="310">
        <f t="shared" si="205"/>
        <v>0.45834619341563776</v>
      </c>
      <c r="HB66" s="22"/>
      <c r="HE66" s="9"/>
    </row>
    <row r="67" spans="1:213" ht="1.5" customHeight="1" x14ac:dyDescent="0.2">
      <c r="A67" s="6"/>
      <c r="B67" s="432"/>
      <c r="C67" s="435">
        <f>MATCH(I67,I68:I248,0)+ROW()</f>
        <v>207</v>
      </c>
      <c r="D67" s="67"/>
      <c r="E67" s="67"/>
      <c r="F67" s="67"/>
      <c r="G67" s="67"/>
      <c r="I67" s="78">
        <f>MAX(I68:I248)</f>
        <v>9643108.6255342178</v>
      </c>
      <c r="J67" s="67"/>
      <c r="K67" s="67"/>
      <c r="M67" s="67"/>
      <c r="O67" s="67"/>
      <c r="Q67" s="68"/>
      <c r="S67" s="67"/>
      <c r="U67" s="68"/>
      <c r="X67" s="67"/>
      <c r="Y67" s="67"/>
      <c r="AD67" s="155"/>
      <c r="AF67" s="155"/>
      <c r="AH67" s="155"/>
      <c r="AJ67" s="155"/>
      <c r="AK67" s="8"/>
      <c r="AL67" s="8"/>
      <c r="AM67" s="8"/>
      <c r="AN67" s="8"/>
      <c r="AO67" s="8"/>
      <c r="AP67" s="8"/>
      <c r="AQ67" s="7"/>
      <c r="AR67" s="7"/>
      <c r="AS67" s="7"/>
      <c r="AT67" s="7"/>
      <c r="AU67" s="7"/>
      <c r="AV67" s="7"/>
      <c r="AW67" s="7"/>
      <c r="AX67" s="7"/>
      <c r="AY67" s="7"/>
      <c r="AZ67" s="8"/>
      <c r="BI67" s="23"/>
      <c r="BN67" s="23"/>
      <c r="BQ67" s="23"/>
      <c r="BT67" s="23"/>
      <c r="BW67" s="23"/>
      <c r="BZ67" s="23"/>
      <c r="CA67" s="9"/>
      <c r="CB67" s="9"/>
      <c r="CC67" s="23"/>
      <c r="CF67" s="37"/>
      <c r="CI67" s="23"/>
      <c r="CL67" s="23"/>
      <c r="CM67" s="23"/>
      <c r="CN67" s="23"/>
      <c r="CO67" s="23"/>
      <c r="CP67" s="23"/>
      <c r="CQ67" s="23"/>
      <c r="CR67" s="23"/>
      <c r="CS67" s="23"/>
      <c r="CT67" s="23"/>
      <c r="CU67" s="23"/>
      <c r="CV67" s="23"/>
      <c r="CW67" s="23"/>
      <c r="CX67" s="23"/>
      <c r="CY67" s="23"/>
      <c r="CZ67" s="23"/>
      <c r="DA67" s="23"/>
      <c r="DM67" s="44">
        <f t="shared" si="232"/>
        <v>61</v>
      </c>
      <c r="DN67" s="41">
        <f t="shared" si="206"/>
        <v>12307520</v>
      </c>
      <c r="DO67" s="41">
        <f t="shared" si="233"/>
        <v>124541.17521367522</v>
      </c>
      <c r="DP67" s="42">
        <f t="shared" si="207"/>
        <v>0</v>
      </c>
      <c r="DQ67" s="42">
        <f t="shared" si="208"/>
        <v>0</v>
      </c>
      <c r="DR67" s="42">
        <f t="shared" si="209"/>
        <v>0</v>
      </c>
      <c r="DS67" s="42">
        <f t="shared" si="210"/>
        <v>0</v>
      </c>
      <c r="DT67" s="42">
        <f t="shared" si="211"/>
        <v>0</v>
      </c>
      <c r="DU67" s="42">
        <f t="shared" si="212"/>
        <v>0</v>
      </c>
      <c r="DV67" s="42">
        <f t="shared" si="213"/>
        <v>0</v>
      </c>
      <c r="DW67" s="42">
        <f t="shared" si="214"/>
        <v>0</v>
      </c>
      <c r="DX67" s="42">
        <f t="shared" si="215"/>
        <v>6687711.6880341871</v>
      </c>
      <c r="DY67" s="42">
        <f>IF(DM67="",DY66,DN67-SUM($DO$6:DO67)+SUM($DP$6:DV67)-SUM($DW$6:DW67))</f>
        <v>5619808.3119658129</v>
      </c>
      <c r="DZ67" s="43">
        <f t="shared" si="234"/>
        <v>0.45661581796867384</v>
      </c>
      <c r="EA67" s="43"/>
      <c r="EB67" s="43" t="str">
        <f t="shared" si="146"/>
        <v>False</v>
      </c>
      <c r="EC67" s="41">
        <f t="shared" si="132"/>
        <v>220400</v>
      </c>
      <c r="ED67" s="41">
        <f t="shared" si="133"/>
        <v>606690</v>
      </c>
      <c r="EE67" s="41">
        <f t="shared" si="216"/>
        <v>902280</v>
      </c>
      <c r="EF67" s="41">
        <f t="shared" si="235"/>
        <v>12244.444444444445</v>
      </c>
      <c r="EG67" s="42">
        <f t="shared" si="236"/>
        <v>8426.25</v>
      </c>
      <c r="EH67" s="42">
        <f t="shared" si="237"/>
        <v>6265.8333333333321</v>
      </c>
      <c r="EI67" s="42">
        <f t="shared" si="217"/>
        <v>85711</v>
      </c>
      <c r="EJ67" s="42">
        <f t="shared" si="218"/>
        <v>514001</v>
      </c>
      <c r="EK67" s="42">
        <f t="shared" si="219"/>
        <v>382216</v>
      </c>
      <c r="EL67" s="42">
        <f>IF(DM67="","",EC67-SUM($EF$6:EF67)+SUM($DP$6:DP67))</f>
        <v>134688.88888888864</v>
      </c>
      <c r="EM67" s="42">
        <f>IF(DM67="","",ED67-SUM($EG$6:EG67)+SUM($DQ$6:DQ67))</f>
        <v>92688.75</v>
      </c>
      <c r="EN67" s="42">
        <f>IF(DM67="","",EE67-SUM($EH$6:EH67)+SUM($DR$6:DR67))</f>
        <v>520064.16666666692</v>
      </c>
      <c r="EO67" s="152">
        <f t="shared" si="220"/>
        <v>0.43220467890362124</v>
      </c>
      <c r="EP67" s="43"/>
      <c r="EQ67" s="42">
        <f t="shared" si="221"/>
        <v>448050</v>
      </c>
      <c r="ER67" s="42">
        <f t="shared" si="222"/>
        <v>248100</v>
      </c>
      <c r="ES67" s="42">
        <f t="shared" si="238"/>
        <v>3733.75</v>
      </c>
      <c r="ET67" s="42">
        <f t="shared" si="239"/>
        <v>6122.9807692307695</v>
      </c>
      <c r="EU67" s="42">
        <f t="shared" si="223"/>
        <v>227759</v>
      </c>
      <c r="EV67" s="42">
        <f t="shared" si="224"/>
        <v>125402</v>
      </c>
      <c r="EW67" s="42">
        <f>IF(DM67="","",IF(DS67&gt;0,DS67,EQ67-SUM($ES$6:ES67)+SUM($DS$6:DS67)))</f>
        <v>220291.25</v>
      </c>
      <c r="EX67" s="42">
        <f>IF(DM67="","",IF(DT67&gt;0,DT67,ER67-SUM($ET$6:ET67)+SUM($DT$6:DT67)))</f>
        <v>122698.17307692324</v>
      </c>
      <c r="EY67" s="43">
        <f t="shared" si="225"/>
        <v>0.49455128205128268</v>
      </c>
      <c r="EZ67" s="43">
        <f t="shared" si="226"/>
        <v>0.49166666666666664</v>
      </c>
      <c r="FA67" s="43"/>
      <c r="FB67" s="42">
        <f t="shared" si="227"/>
        <v>4700000</v>
      </c>
      <c r="FC67" s="42">
        <f t="shared" si="228"/>
        <v>5182000</v>
      </c>
      <c r="FD67" s="41">
        <f t="shared" si="240"/>
        <v>54833.333333333336</v>
      </c>
      <c r="FE67" s="41">
        <f t="shared" si="241"/>
        <v>32914.583333333336</v>
      </c>
      <c r="FF67" s="42">
        <f t="shared" si="229"/>
        <v>3344833</v>
      </c>
      <c r="FG67" s="42">
        <f t="shared" si="230"/>
        <v>2007790</v>
      </c>
      <c r="FH67" s="42">
        <f>IF(DM67="","",IF(DU67&gt;0,DU67,FB67-SUM($FD$6:FD67)+SUM($DU$6:DU67)))</f>
        <v>1355166.6666666642</v>
      </c>
      <c r="FI67" s="42">
        <f>IF(DM67="","",FC67-SUM($FE$6:FE67)+SUM($DV$6:DV67)-SUM($DW$6:DW67))</f>
        <v>3174210.4166666684</v>
      </c>
      <c r="FJ67" s="152">
        <f t="shared" si="231"/>
        <v>0.45834619341563776</v>
      </c>
      <c r="FN67" s="8"/>
      <c r="FO67" s="8"/>
      <c r="FP67" s="8"/>
      <c r="FQ67" s="8"/>
      <c r="FR67" s="8"/>
      <c r="FS67" s="8"/>
      <c r="FT67" s="8"/>
      <c r="FU67" s="8"/>
      <c r="GC67" s="68">
        <f t="shared" si="195"/>
        <v>62</v>
      </c>
      <c r="GD67" s="78">
        <f t="shared" si="196"/>
        <v>0</v>
      </c>
      <c r="GE67" s="309">
        <f t="shared" si="197"/>
        <v>0.44649670581499262</v>
      </c>
      <c r="GF67" s="78">
        <f t="shared" si="198"/>
        <v>0</v>
      </c>
      <c r="GG67" s="310">
        <f t="shared" si="199"/>
        <v>0.41662875947760036</v>
      </c>
      <c r="GH67" s="78">
        <f t="shared" si="200"/>
        <v>0</v>
      </c>
      <c r="GI67" s="310">
        <f t="shared" si="201"/>
        <v>0.48333333333333334</v>
      </c>
      <c r="GJ67" s="311">
        <f t="shared" si="202"/>
        <v>0</v>
      </c>
      <c r="GK67" s="310">
        <f t="shared" si="203"/>
        <v>0.46987179487179559</v>
      </c>
      <c r="GL67" s="311">
        <f t="shared" si="204"/>
        <v>0</v>
      </c>
      <c r="GM67" s="310">
        <f t="shared" si="205"/>
        <v>0.44946662281589417</v>
      </c>
      <c r="HB67" s="22"/>
      <c r="HE67" s="9"/>
    </row>
    <row r="68" spans="1:213" x14ac:dyDescent="0.2">
      <c r="A68" s="6"/>
      <c r="B68" s="436"/>
      <c r="C68" s="426">
        <f>IF(OR(C67="",D68=""),"",EDATE(K7,0))</f>
        <v>41275</v>
      </c>
      <c r="D68" s="155">
        <f>IF(DM6="","",DM6)</f>
        <v>0</v>
      </c>
      <c r="E68" s="155">
        <f t="shared" ref="E68:E99" si="242">IF(D68="","",DN6)</f>
        <v>12272520</v>
      </c>
      <c r="F68" s="155"/>
      <c r="G68" s="155"/>
      <c r="I68" s="444"/>
      <c r="J68" s="155"/>
      <c r="K68" s="155"/>
      <c r="M68" s="155"/>
      <c r="O68" s="155"/>
      <c r="Q68" s="155"/>
      <c r="S68" s="155"/>
      <c r="U68" s="155"/>
      <c r="W68" s="540">
        <f>IF(D68="","",'Mx FORECAST'!DY6)</f>
        <v>12272520</v>
      </c>
      <c r="X68" s="540"/>
      <c r="Y68" s="437">
        <f>IF(D68="","",'Mx FORECAST'!DZ6)</f>
        <v>1</v>
      </c>
      <c r="AD68" s="155"/>
      <c r="AF68" s="155"/>
      <c r="AH68" s="155"/>
      <c r="AJ68" s="155"/>
      <c r="AK68" s="8"/>
      <c r="AL68" s="8"/>
      <c r="AM68" s="8"/>
      <c r="AN68" s="8"/>
      <c r="AO68" s="8"/>
      <c r="AP68" s="8"/>
      <c r="AQ68" s="7"/>
      <c r="AR68" s="7"/>
      <c r="AS68" s="7"/>
      <c r="AT68" s="7"/>
      <c r="AU68" s="7"/>
      <c r="AV68" s="7"/>
      <c r="AW68" s="7"/>
      <c r="AX68" s="7"/>
      <c r="AY68" s="7"/>
      <c r="AZ68" s="8"/>
      <c r="BI68" s="23"/>
      <c r="BN68" s="23"/>
      <c r="BQ68" s="23"/>
      <c r="BT68" s="23"/>
      <c r="BW68" s="23"/>
      <c r="BZ68" s="23"/>
      <c r="CA68" s="9"/>
      <c r="CB68" s="9"/>
      <c r="CC68" s="23"/>
      <c r="CF68" s="37"/>
      <c r="CI68" s="23"/>
      <c r="CL68" s="23"/>
      <c r="CM68" s="23"/>
      <c r="CN68" s="23"/>
      <c r="CO68" s="23"/>
      <c r="CP68" s="23"/>
      <c r="CQ68" s="23"/>
      <c r="CR68" s="23"/>
      <c r="CS68" s="23"/>
      <c r="CT68" s="23"/>
      <c r="CU68" s="23"/>
      <c r="CV68" s="23"/>
      <c r="CW68" s="23"/>
      <c r="CX68" s="23"/>
      <c r="CY68" s="23"/>
      <c r="CZ68" s="23"/>
      <c r="DA68" s="23"/>
      <c r="DM68" s="44">
        <f t="shared" si="232"/>
        <v>62</v>
      </c>
      <c r="DN68" s="41">
        <f t="shared" si="206"/>
        <v>12307520</v>
      </c>
      <c r="DO68" s="41">
        <f t="shared" si="233"/>
        <v>124541.17521367522</v>
      </c>
      <c r="DP68" s="42">
        <f t="shared" si="207"/>
        <v>0</v>
      </c>
      <c r="DQ68" s="42">
        <f t="shared" si="208"/>
        <v>0</v>
      </c>
      <c r="DR68" s="42">
        <f t="shared" si="209"/>
        <v>0</v>
      </c>
      <c r="DS68" s="42">
        <f t="shared" si="210"/>
        <v>0</v>
      </c>
      <c r="DT68" s="42">
        <f t="shared" si="211"/>
        <v>0</v>
      </c>
      <c r="DU68" s="42">
        <f t="shared" si="212"/>
        <v>0</v>
      </c>
      <c r="DV68" s="42">
        <f t="shared" si="213"/>
        <v>0</v>
      </c>
      <c r="DW68" s="42">
        <f t="shared" si="214"/>
        <v>0</v>
      </c>
      <c r="DX68" s="42">
        <f t="shared" si="215"/>
        <v>6812252.8632478621</v>
      </c>
      <c r="DY68" s="42">
        <f>IF(DM68="",DY67,DN68-SUM($DO$6:DO68)+SUM($DP$6:DV68)-SUM($DW$6:DW68))</f>
        <v>5495267.1367521379</v>
      </c>
      <c r="DZ68" s="43">
        <f t="shared" si="234"/>
        <v>0.44649670581499262</v>
      </c>
      <c r="EA68" s="43"/>
      <c r="EB68" s="43" t="str">
        <f t="shared" si="146"/>
        <v>False</v>
      </c>
      <c r="EC68" s="41">
        <f t="shared" si="132"/>
        <v>220400</v>
      </c>
      <c r="ED68" s="41">
        <f t="shared" si="133"/>
        <v>606690</v>
      </c>
      <c r="EE68" s="41">
        <f t="shared" si="216"/>
        <v>902280</v>
      </c>
      <c r="EF68" s="41">
        <f t="shared" si="235"/>
        <v>12244.444444444445</v>
      </c>
      <c r="EG68" s="42">
        <f t="shared" si="236"/>
        <v>8426.25</v>
      </c>
      <c r="EH68" s="42">
        <f t="shared" si="237"/>
        <v>6265.8333333333321</v>
      </c>
      <c r="EI68" s="42">
        <f t="shared" si="217"/>
        <v>97956</v>
      </c>
      <c r="EJ68" s="42">
        <f t="shared" si="218"/>
        <v>522428</v>
      </c>
      <c r="EK68" s="42">
        <f t="shared" si="219"/>
        <v>388482</v>
      </c>
      <c r="EL68" s="42">
        <f>IF(DM68="","",EC68-SUM($EF$6:EF68)+SUM($DP$6:DP68))</f>
        <v>122444.44444444415</v>
      </c>
      <c r="EM68" s="42">
        <f>IF(DM68="","",ED68-SUM($EG$6:EG68)+SUM($DQ$6:DQ68))</f>
        <v>84262.5</v>
      </c>
      <c r="EN68" s="42">
        <f>IF(DM68="","",EE68-SUM($EH$6:EH68)+SUM($DR$6:DR68))</f>
        <v>513798.3333333336</v>
      </c>
      <c r="EO68" s="152">
        <f t="shared" si="220"/>
        <v>0.41662875947760036</v>
      </c>
      <c r="EP68" s="43"/>
      <c r="EQ68" s="42">
        <f t="shared" si="221"/>
        <v>448050</v>
      </c>
      <c r="ER68" s="42">
        <f t="shared" si="222"/>
        <v>248100</v>
      </c>
      <c r="ES68" s="42">
        <f t="shared" si="238"/>
        <v>3733.75</v>
      </c>
      <c r="ET68" s="42">
        <f t="shared" si="239"/>
        <v>6122.9807692307695</v>
      </c>
      <c r="EU68" s="42">
        <f t="shared" si="223"/>
        <v>231493</v>
      </c>
      <c r="EV68" s="42">
        <f t="shared" si="224"/>
        <v>131525</v>
      </c>
      <c r="EW68" s="42">
        <f>IF(DM68="","",IF(DS68&gt;0,DS68,EQ68-SUM($ES$6:ES68)+SUM($DS$6:DS68)))</f>
        <v>216557.5</v>
      </c>
      <c r="EX68" s="42">
        <f>IF(DM68="","",IF(DT68&gt;0,DT68,ER68-SUM($ET$6:ET68)+SUM($DT$6:DT68)))</f>
        <v>116575.19230769249</v>
      </c>
      <c r="EY68" s="43">
        <f t="shared" si="225"/>
        <v>0.46987179487179559</v>
      </c>
      <c r="EZ68" s="43">
        <f t="shared" si="226"/>
        <v>0.48333333333333334</v>
      </c>
      <c r="FA68" s="43"/>
      <c r="FB68" s="42">
        <f t="shared" si="227"/>
        <v>4700000</v>
      </c>
      <c r="FC68" s="42">
        <f t="shared" si="228"/>
        <v>5182000</v>
      </c>
      <c r="FD68" s="41">
        <f t="shared" si="240"/>
        <v>54833.333333333336</v>
      </c>
      <c r="FE68" s="41">
        <f t="shared" si="241"/>
        <v>32914.583333333336</v>
      </c>
      <c r="FF68" s="42">
        <f t="shared" si="229"/>
        <v>3399667</v>
      </c>
      <c r="FG68" s="42">
        <f t="shared" si="230"/>
        <v>2040704</v>
      </c>
      <c r="FH68" s="42">
        <f>IF(DM68="","",IF(DU68&gt;0,DU68,FB68-SUM($FD$6:FD68)+SUM($DU$6:DU68)))</f>
        <v>1300333.3333333307</v>
      </c>
      <c r="FI68" s="42">
        <f>IF(DM68="","",FC68-SUM($FE$6:FE68)+SUM($DV$6:DV68)-SUM($DW$6:DW68))</f>
        <v>3141295.8333333349</v>
      </c>
      <c r="FJ68" s="152">
        <f t="shared" si="231"/>
        <v>0.44946662281589417</v>
      </c>
      <c r="FN68" s="8"/>
      <c r="FO68" s="8"/>
      <c r="FP68" s="8"/>
      <c r="FQ68" s="8"/>
      <c r="FR68" s="8"/>
      <c r="FS68" s="8"/>
      <c r="FT68" s="8"/>
      <c r="FU68" s="8"/>
      <c r="GC68" s="68">
        <f t="shared" si="195"/>
        <v>63</v>
      </c>
      <c r="GD68" s="78">
        <f t="shared" si="196"/>
        <v>0</v>
      </c>
      <c r="GE68" s="309">
        <f t="shared" si="197"/>
        <v>0.43637759366131135</v>
      </c>
      <c r="GF68" s="78">
        <f t="shared" si="198"/>
        <v>0</v>
      </c>
      <c r="GG68" s="310">
        <f t="shared" si="199"/>
        <v>0.40105284005157948</v>
      </c>
      <c r="GH68" s="78">
        <f t="shared" si="200"/>
        <v>0</v>
      </c>
      <c r="GI68" s="310">
        <f t="shared" si="201"/>
        <v>0.47499999999999998</v>
      </c>
      <c r="GJ68" s="311">
        <f t="shared" si="202"/>
        <v>0</v>
      </c>
      <c r="GK68" s="310">
        <f t="shared" si="203"/>
        <v>0.4451923076923085</v>
      </c>
      <c r="GL68" s="311">
        <f t="shared" si="204"/>
        <v>0</v>
      </c>
      <c r="GM68" s="310">
        <f t="shared" si="205"/>
        <v>0.44058705221615047</v>
      </c>
      <c r="HB68" s="22"/>
      <c r="HE68" s="9"/>
    </row>
    <row r="69" spans="1:213" x14ac:dyDescent="0.2">
      <c r="A69" s="6"/>
      <c r="B69" s="6"/>
      <c r="C69" s="426">
        <f t="shared" ref="C69:C132" si="243">IF(OR(C68="",D69=""),"",EDATE(C68,1))</f>
        <v>41306</v>
      </c>
      <c r="D69" s="155">
        <f t="shared" ref="D69:D132" si="244">IF(DM7="","",DM7)</f>
        <v>1</v>
      </c>
      <c r="E69" s="155">
        <f t="shared" si="242"/>
        <v>12272520</v>
      </c>
      <c r="F69" s="155"/>
      <c r="G69" s="438">
        <f t="shared" ref="G69:G100" si="245">IF(D69="","",DO7)</f>
        <v>122596.73076923078</v>
      </c>
      <c r="I69" s="444">
        <f>IF(D69="","",'Mx FORECAST'!DX7)</f>
        <v>122596.73076923005</v>
      </c>
      <c r="J69" s="155">
        <f>IF(D69="","",'Mx FORECAST'!DP7)</f>
        <v>0</v>
      </c>
      <c r="K69" s="155">
        <f>IF(D69="","",'Mx FORECAST'!DQ7)</f>
        <v>0</v>
      </c>
      <c r="M69" s="155">
        <f>IF(D69="","",'Mx FORECAST'!DR7)</f>
        <v>0</v>
      </c>
      <c r="O69" s="155">
        <f>IF(D69="","",'Mx FORECAST'!DS7)</f>
        <v>0</v>
      </c>
      <c r="Q69" s="155">
        <f>IF(D69="","",'Mx FORECAST'!DT7)</f>
        <v>0</v>
      </c>
      <c r="S69" s="155">
        <f>IF(D69="","",'Mx FORECAST'!DU7)</f>
        <v>0</v>
      </c>
      <c r="U69" s="155">
        <f>IF(D69="","",'Mx FORECAST'!DV7)</f>
        <v>0</v>
      </c>
      <c r="W69" s="540">
        <f>IF(D69="","",'Mx FORECAST'!DY7)</f>
        <v>12149923.26923077</v>
      </c>
      <c r="X69" s="540"/>
      <c r="Y69" s="437">
        <f>IF(D69="","",'Mx FORECAST'!DZ7)</f>
        <v>0.99001046804004145</v>
      </c>
      <c r="AD69" s="155"/>
      <c r="AF69" s="155"/>
      <c r="AH69" s="155"/>
      <c r="AJ69" s="155"/>
      <c r="AK69" s="8"/>
      <c r="AL69" s="8"/>
      <c r="AM69" s="8"/>
      <c r="AN69" s="8"/>
      <c r="AO69" s="8"/>
      <c r="AP69" s="8"/>
      <c r="AQ69" s="7"/>
      <c r="AR69" s="7"/>
      <c r="AS69" s="7"/>
      <c r="AT69" s="7"/>
      <c r="AU69" s="7"/>
      <c r="AV69" s="7"/>
      <c r="AW69" s="7"/>
      <c r="AX69" s="7"/>
      <c r="AY69" s="7"/>
      <c r="AZ69" s="8"/>
      <c r="BI69" s="23"/>
      <c r="BN69" s="23"/>
      <c r="BQ69" s="23"/>
      <c r="BT69" s="23"/>
      <c r="BW69" s="23"/>
      <c r="BZ69" s="23"/>
      <c r="CA69" s="9"/>
      <c r="CB69" s="9"/>
      <c r="CC69" s="23"/>
      <c r="CF69" s="37"/>
      <c r="CI69" s="23"/>
      <c r="CL69" s="23"/>
      <c r="CM69" s="23"/>
      <c r="CN69" s="23"/>
      <c r="CO69" s="23"/>
      <c r="CP69" s="23"/>
      <c r="CQ69" s="23"/>
      <c r="CR69" s="23"/>
      <c r="CS69" s="23"/>
      <c r="CT69" s="23"/>
      <c r="CU69" s="23"/>
      <c r="CV69" s="23"/>
      <c r="CW69" s="23"/>
      <c r="CX69" s="23"/>
      <c r="CY69" s="23"/>
      <c r="CZ69" s="23"/>
      <c r="DA69" s="23"/>
      <c r="DM69" s="44">
        <f t="shared" si="232"/>
        <v>63</v>
      </c>
      <c r="DN69" s="41">
        <f t="shared" si="206"/>
        <v>12307520</v>
      </c>
      <c r="DO69" s="41">
        <f t="shared" si="233"/>
        <v>124541.17521367522</v>
      </c>
      <c r="DP69" s="42">
        <f t="shared" si="207"/>
        <v>0</v>
      </c>
      <c r="DQ69" s="42">
        <f t="shared" si="208"/>
        <v>0</v>
      </c>
      <c r="DR69" s="42">
        <f t="shared" si="209"/>
        <v>0</v>
      </c>
      <c r="DS69" s="42">
        <f t="shared" si="210"/>
        <v>0</v>
      </c>
      <c r="DT69" s="42">
        <f t="shared" si="211"/>
        <v>0</v>
      </c>
      <c r="DU69" s="42">
        <f t="shared" si="212"/>
        <v>0</v>
      </c>
      <c r="DV69" s="42">
        <f t="shared" si="213"/>
        <v>0</v>
      </c>
      <c r="DW69" s="42">
        <f t="shared" si="214"/>
        <v>0</v>
      </c>
      <c r="DX69" s="42">
        <f t="shared" si="215"/>
        <v>6936794.0384615371</v>
      </c>
      <c r="DY69" s="42">
        <f>IF(DM69="",DY68,DN69-SUM($DO$6:DO69)+SUM($DP$6:DV69)-SUM($DW$6:DW69))</f>
        <v>5370725.9615384629</v>
      </c>
      <c r="DZ69" s="43">
        <f t="shared" si="234"/>
        <v>0.43637759366131135</v>
      </c>
      <c r="EA69" s="43"/>
      <c r="EB69" s="43" t="str">
        <f t="shared" si="146"/>
        <v>False</v>
      </c>
      <c r="EC69" s="41">
        <f t="shared" si="132"/>
        <v>220400</v>
      </c>
      <c r="ED69" s="41">
        <f t="shared" si="133"/>
        <v>606690</v>
      </c>
      <c r="EE69" s="41">
        <f t="shared" si="216"/>
        <v>902280</v>
      </c>
      <c r="EF69" s="41">
        <f t="shared" si="235"/>
        <v>12244.444444444445</v>
      </c>
      <c r="EG69" s="42">
        <f t="shared" si="236"/>
        <v>8426.25</v>
      </c>
      <c r="EH69" s="42">
        <f t="shared" si="237"/>
        <v>6265.8333333333321</v>
      </c>
      <c r="EI69" s="42">
        <f t="shared" si="217"/>
        <v>110200</v>
      </c>
      <c r="EJ69" s="42">
        <f t="shared" si="218"/>
        <v>530854</v>
      </c>
      <c r="EK69" s="42">
        <f t="shared" si="219"/>
        <v>394748</v>
      </c>
      <c r="EL69" s="42">
        <f>IF(DM69="","",EC69-SUM($EF$6:EF69)+SUM($DP$6:DP69))</f>
        <v>110199.99999999965</v>
      </c>
      <c r="EM69" s="42">
        <f>IF(DM69="","",ED69-SUM($EG$6:EG69)+SUM($DQ$6:DQ69))</f>
        <v>75836.25</v>
      </c>
      <c r="EN69" s="42">
        <f>IF(DM69="","",EE69-SUM($EH$6:EH69)+SUM($DR$6:DR69))</f>
        <v>507532.50000000029</v>
      </c>
      <c r="EO69" s="152">
        <f t="shared" si="220"/>
        <v>0.40105284005157948</v>
      </c>
      <c r="EP69" s="43"/>
      <c r="EQ69" s="42">
        <f t="shared" si="221"/>
        <v>448050</v>
      </c>
      <c r="ER69" s="42">
        <f t="shared" si="222"/>
        <v>248100</v>
      </c>
      <c r="ES69" s="42">
        <f t="shared" si="238"/>
        <v>3733.75</v>
      </c>
      <c r="ET69" s="42">
        <f t="shared" si="239"/>
        <v>6122.9807692307695</v>
      </c>
      <c r="EU69" s="42">
        <f t="shared" si="223"/>
        <v>235226</v>
      </c>
      <c r="EV69" s="42">
        <f t="shared" si="224"/>
        <v>137648</v>
      </c>
      <c r="EW69" s="42">
        <f>IF(DM69="","",IF(DS69&gt;0,DS69,EQ69-SUM($ES$6:ES69)+SUM($DS$6:DS69)))</f>
        <v>212823.75</v>
      </c>
      <c r="EX69" s="42">
        <f>IF(DM69="","",IF(DT69&gt;0,DT69,ER69-SUM($ET$6:ET69)+SUM($DT$6:DT69)))</f>
        <v>110452.21153846174</v>
      </c>
      <c r="EY69" s="43">
        <f t="shared" si="225"/>
        <v>0.4451923076923085</v>
      </c>
      <c r="EZ69" s="43">
        <f t="shared" si="226"/>
        <v>0.47499999999999998</v>
      </c>
      <c r="FA69" s="43"/>
      <c r="FB69" s="42">
        <f t="shared" si="227"/>
        <v>4700000</v>
      </c>
      <c r="FC69" s="42">
        <f t="shared" si="228"/>
        <v>5182000</v>
      </c>
      <c r="FD69" s="41">
        <f t="shared" si="240"/>
        <v>54833.333333333336</v>
      </c>
      <c r="FE69" s="41">
        <f t="shared" si="241"/>
        <v>32914.583333333336</v>
      </c>
      <c r="FF69" s="42">
        <f t="shared" si="229"/>
        <v>3454500</v>
      </c>
      <c r="FG69" s="42">
        <f t="shared" si="230"/>
        <v>2073619</v>
      </c>
      <c r="FH69" s="42">
        <f>IF(DM69="","",IF(DU69&gt;0,DU69,FB69-SUM($FD$6:FD69)+SUM($DU$6:DU69)))</f>
        <v>1245499.9999999972</v>
      </c>
      <c r="FI69" s="42">
        <f>IF(DM69="","",FC69-SUM($FE$6:FE69)+SUM($DV$6:DV69)-SUM($DW$6:DW69))</f>
        <v>3108381.2500000019</v>
      </c>
      <c r="FJ69" s="152">
        <f t="shared" si="231"/>
        <v>0.44058705221615047</v>
      </c>
      <c r="FN69" s="8"/>
      <c r="FO69" s="8"/>
      <c r="FP69" s="8"/>
      <c r="FQ69" s="8"/>
      <c r="FR69" s="8"/>
      <c r="FS69" s="8"/>
      <c r="FT69" s="8"/>
      <c r="FU69" s="8"/>
      <c r="GC69" s="68">
        <f t="shared" ref="GC69:GC100" si="246">DM70</f>
        <v>64</v>
      </c>
      <c r="GD69" s="78">
        <f t="shared" ref="GD69:GD100" si="247">IF(DM70="","",SUM(DP70:DV70))</f>
        <v>0</v>
      </c>
      <c r="GE69" s="309">
        <f t="shared" ref="GE69:GE100" si="248">IF(DM70="",DZ70,DZ70)</f>
        <v>0.42625848150763013</v>
      </c>
      <c r="GF69" s="78">
        <f t="shared" ref="GF69:GF100" si="249">IF(DM70="","",SUM(DP70:DR70))</f>
        <v>0</v>
      </c>
      <c r="GG69" s="310">
        <f t="shared" ref="GG69:GG100" si="250">IF(DM70="",GG68,EO70)</f>
        <v>0.38547692062555849</v>
      </c>
      <c r="GH69" s="78">
        <f t="shared" ref="GH69:GH100" si="251">IF(DM70="","",DS70)</f>
        <v>0</v>
      </c>
      <c r="GI69" s="310">
        <f t="shared" ref="GI69:GI100" si="252">IF(DM70="",GI68,EZ70)</f>
        <v>0.46666666666666667</v>
      </c>
      <c r="GJ69" s="311">
        <f t="shared" ref="GJ69:GJ100" si="253">IF(DM70="","",DT70)</f>
        <v>0</v>
      </c>
      <c r="GK69" s="310">
        <f t="shared" ref="GK69:GK100" si="254">IF(DM70="",GK68,EY70)</f>
        <v>0.42051282051282141</v>
      </c>
      <c r="GL69" s="311">
        <f t="shared" ref="GL69:GL100" si="255">IF(DM70="","",SUM(DU70:DV70))</f>
        <v>0</v>
      </c>
      <c r="GM69" s="310">
        <f t="shared" ref="GM69:GM100" si="256">IF(DM70="",GM68,FJ70)</f>
        <v>0.43170748161640682</v>
      </c>
      <c r="HB69" s="22"/>
      <c r="HE69" s="9"/>
    </row>
    <row r="70" spans="1:213" x14ac:dyDescent="0.2">
      <c r="A70" s="6"/>
      <c r="B70" s="6"/>
      <c r="C70" s="426">
        <f t="shared" si="243"/>
        <v>41334</v>
      </c>
      <c r="D70" s="155">
        <f t="shared" si="244"/>
        <v>2</v>
      </c>
      <c r="E70" s="155">
        <f t="shared" si="242"/>
        <v>12272520</v>
      </c>
      <c r="F70" s="155"/>
      <c r="G70" s="438">
        <f t="shared" si="245"/>
        <v>122596.73076923078</v>
      </c>
      <c r="I70" s="444">
        <f>IF(D70="","",'Mx FORECAST'!DX8)</f>
        <v>245193.46153846197</v>
      </c>
      <c r="J70" s="155">
        <f>IF(D70="","",'Mx FORECAST'!DP8)</f>
        <v>0</v>
      </c>
      <c r="K70" s="155">
        <f>IF(D70="","",'Mx FORECAST'!DQ8)</f>
        <v>0</v>
      </c>
      <c r="M70" s="155">
        <f>IF(D70="","",'Mx FORECAST'!DR8)</f>
        <v>0</v>
      </c>
      <c r="O70" s="155">
        <f>IF(D70="","",'Mx FORECAST'!DS8)</f>
        <v>0</v>
      </c>
      <c r="Q70" s="155">
        <f>IF(D70="","",'Mx FORECAST'!DT8)</f>
        <v>0</v>
      </c>
      <c r="S70" s="155">
        <f>IF(D70="","",'Mx FORECAST'!DU8)</f>
        <v>0</v>
      </c>
      <c r="U70" s="155">
        <f>IF(D70="","",'Mx FORECAST'!DV8)</f>
        <v>0</v>
      </c>
      <c r="W70" s="540">
        <f>IF(D70="","",'Mx FORECAST'!DY8)</f>
        <v>12027326.538461538</v>
      </c>
      <c r="X70" s="540"/>
      <c r="Y70" s="437">
        <f>IF(D70="","",'Mx FORECAST'!DZ8)</f>
        <v>0.98002093608008278</v>
      </c>
      <c r="AD70" s="155"/>
      <c r="AF70" s="155"/>
      <c r="AH70" s="155"/>
      <c r="AJ70" s="155"/>
      <c r="AK70" s="8"/>
      <c r="AL70" s="8"/>
      <c r="AM70" s="8"/>
      <c r="AN70" s="8"/>
      <c r="AO70" s="8"/>
      <c r="AP70" s="8"/>
      <c r="AQ70" s="7"/>
      <c r="AR70" s="7"/>
      <c r="AS70" s="7"/>
      <c r="AT70" s="7"/>
      <c r="AU70" s="7"/>
      <c r="AV70" s="7"/>
      <c r="AW70" s="7"/>
      <c r="AX70" s="7"/>
      <c r="AY70" s="7"/>
      <c r="AZ70" s="8"/>
      <c r="BI70" s="23"/>
      <c r="BN70" s="23"/>
      <c r="BQ70" s="23"/>
      <c r="BT70" s="23"/>
      <c r="BW70" s="23"/>
      <c r="BZ70" s="23"/>
      <c r="CA70" s="9"/>
      <c r="CB70" s="9"/>
      <c r="CC70" s="23"/>
      <c r="CF70" s="37"/>
      <c r="CI70" s="23"/>
      <c r="CL70" s="23"/>
      <c r="CM70" s="23"/>
      <c r="CN70" s="23"/>
      <c r="CO70" s="23"/>
      <c r="CP70" s="23"/>
      <c r="CQ70" s="23"/>
      <c r="CR70" s="23"/>
      <c r="CS70" s="23"/>
      <c r="CT70" s="23"/>
      <c r="CU70" s="23"/>
      <c r="CV70" s="23"/>
      <c r="CW70" s="23"/>
      <c r="CX70" s="23"/>
      <c r="CY70" s="23"/>
      <c r="CZ70" s="23"/>
      <c r="DA70" s="23"/>
      <c r="DM70" s="44">
        <f t="shared" si="232"/>
        <v>64</v>
      </c>
      <c r="DN70" s="41">
        <f t="shared" ref="DN70:DN101" si="257">IF(DM70="","",SUM(EC70:EE70)+SUM(EQ70:ER70)+SUM(FB70:FC70))</f>
        <v>12307520</v>
      </c>
      <c r="DO70" s="41">
        <f t="shared" si="233"/>
        <v>124541.17521367522</v>
      </c>
      <c r="DP70" s="42">
        <f t="shared" ref="DP70:DP101" si="258">IF(DM70="","",IF(ISNA(VLOOKUP(DM70,$GS$4:$GU$13,3,FALSE)),0,VLOOKUP(DM70,$GS$4:$GU$13,3,FALSE)))</f>
        <v>0</v>
      </c>
      <c r="DQ70" s="42">
        <f t="shared" ref="DQ70:DQ101" si="259">IF(DM70="","",IF(ISNA(VLOOKUP(DM70,$GS$14:$GU$15,3,FALSE)),0,VLOOKUP(DM70,$GS$14:$GU$15,3,FALSE)))</f>
        <v>0</v>
      </c>
      <c r="DR70" s="42">
        <f t="shared" ref="DR70:DR101" si="260">IF(DM70="","",IF(ISNA(VLOOKUP(DM70,$GS$16:$GU$16,3,FALSE)),0,VLOOKUP(DM70,$GS$16:$GU$16,3,FALSE)))</f>
        <v>0</v>
      </c>
      <c r="DS70" s="42">
        <f t="shared" ref="DS70:DS101" si="261">IF(DM70="","",IF(ISNA(VLOOKUP(DM70,$GS$17:$GU$19,3,FALSE)),0,VLOOKUP(DM70,$GS$17:$GU$19,3,FALSE)))</f>
        <v>0</v>
      </c>
      <c r="DT70" s="42">
        <f t="shared" ref="DT70:DT101" si="262">IF(DM70="","",IF(ISNA(VLOOKUP(DM70,$GS$20:$GU$28,3,FALSE)),0,VLOOKUP(DM70,$GS$20:$GU$28,3,FALSE)))</f>
        <v>0</v>
      </c>
      <c r="DU70" s="42">
        <f t="shared" ref="DU70:DU101" si="263">IF(DM70="","",IF(ISNA(VLOOKUP(DM70,$GS$30:$GW$44,3,FALSE)),0,VLOOKUP(DM70,$GS$30:$GW$44,3,FALSE)))</f>
        <v>0</v>
      </c>
      <c r="DV70" s="42">
        <f t="shared" ref="DV70:DV101" si="264">IF(DM70="","",IF(ISNA(VLOOKUP(DM70,$GS$30:$GW$44,4,FALSE)),0,VLOOKUP(DM70,$GS$30:$GW$44,4,FALSE)))</f>
        <v>0</v>
      </c>
      <c r="DW70" s="42">
        <f t="shared" ref="DW70:DW101" si="265">IF(DM70="","",IF(ISNA(VLOOKUP(DM70,$GS$30:$GW$44,5,FALSE)),0,VLOOKUP(DM70,$GS$30:$GW$44,5,FALSE)))</f>
        <v>0</v>
      </c>
      <c r="DX70" s="42">
        <f t="shared" ref="DX70:DX101" si="266">IF(DM70="","",DN70-DY70)</f>
        <v>7061335.2136752121</v>
      </c>
      <c r="DY70" s="42">
        <f>IF(DM70="",DY69,DN70-SUM($DO$6:DO70)+SUM($DP$6:DV70)-SUM($DW$6:DW70))</f>
        <v>5246184.7863247879</v>
      </c>
      <c r="DZ70" s="43">
        <f t="shared" si="234"/>
        <v>0.42625848150763013</v>
      </c>
      <c r="EA70" s="43"/>
      <c r="EB70" s="43" t="str">
        <f t="shared" si="146"/>
        <v>False</v>
      </c>
      <c r="EC70" s="41">
        <f t="shared" si="132"/>
        <v>220400</v>
      </c>
      <c r="ED70" s="41">
        <f t="shared" si="133"/>
        <v>606690</v>
      </c>
      <c r="EE70" s="41">
        <f t="shared" ref="EE70:EE101" si="267">IF(DM70="","",IF(DM70&lt;=$DI$9,$DF$9,$DF$20))</f>
        <v>902280</v>
      </c>
      <c r="EF70" s="41">
        <f t="shared" si="235"/>
        <v>12244.444444444445</v>
      </c>
      <c r="EG70" s="42">
        <f t="shared" si="236"/>
        <v>8426.25</v>
      </c>
      <c r="EH70" s="42">
        <f t="shared" si="237"/>
        <v>6265.8333333333321</v>
      </c>
      <c r="EI70" s="42">
        <f t="shared" ref="EI70:EI101" si="268">IF(DM70="","",ROUND(EC70-EL70,0))</f>
        <v>122444</v>
      </c>
      <c r="EJ70" s="42">
        <f t="shared" ref="EJ70:EJ101" si="269">IF(DM70="","",ROUND(ED70-EM70,0))</f>
        <v>539280</v>
      </c>
      <c r="EK70" s="42">
        <f t="shared" ref="EK70:EK101" si="270">IF(DM70="","",ROUND(EE70-EN70,0))</f>
        <v>401013</v>
      </c>
      <c r="EL70" s="42">
        <f>IF(DM70="","",EC70-SUM($EF$6:EF70)+SUM($DP$6:DP70))</f>
        <v>97955.555555555155</v>
      </c>
      <c r="EM70" s="42">
        <f>IF(DM70="","",ED70-SUM($EG$6:EG70)+SUM($DQ$6:DQ70))</f>
        <v>67410</v>
      </c>
      <c r="EN70" s="42">
        <f>IF(DM70="","",EE70-SUM($EH$6:EH70)+SUM($DR$6:DR70))</f>
        <v>501266.66666666698</v>
      </c>
      <c r="EO70" s="152">
        <f t="shared" ref="EO70:EO101" si="271">IF(DM70="","",SUM(EL70:EN70)/SUM(EC70:EE70))</f>
        <v>0.38547692062555849</v>
      </c>
      <c r="EP70" s="43"/>
      <c r="EQ70" s="42">
        <f t="shared" ref="EQ70:EQ101" si="272">IF(DM70="","",$DF$10)</f>
        <v>448050</v>
      </c>
      <c r="ER70" s="42">
        <f t="shared" ref="ER70:ER101" si="273">IF(DM70="","",$DF$11)</f>
        <v>248100</v>
      </c>
      <c r="ES70" s="42">
        <f t="shared" si="238"/>
        <v>3733.75</v>
      </c>
      <c r="ET70" s="42">
        <f t="shared" si="239"/>
        <v>6122.9807692307695</v>
      </c>
      <c r="EU70" s="42">
        <f t="shared" ref="EU70:EU101" si="274">IF(DM70="","",ROUND(EQ70-EW70,0))</f>
        <v>238960</v>
      </c>
      <c r="EV70" s="42">
        <f t="shared" ref="EV70:EV101" si="275">IF(DM70="","",ROUND(ER70-EX70,0))</f>
        <v>143771</v>
      </c>
      <c r="EW70" s="42">
        <f>IF(DM70="","",IF(DS70&gt;0,DS70,EQ70-SUM($ES$6:ES70)+SUM($DS$6:DS70)))</f>
        <v>209090</v>
      </c>
      <c r="EX70" s="42">
        <f>IF(DM70="","",IF(DT70&gt;0,DT70,ER70-SUM($ET$6:ET70)+SUM($DT$6:DT70)))</f>
        <v>104329.23076923098</v>
      </c>
      <c r="EY70" s="43">
        <f t="shared" ref="EY70:EY101" si="276">IF(DM70="","",IF(EX70/ER70&gt;1,1,EX70/ER70))</f>
        <v>0.42051282051282141</v>
      </c>
      <c r="EZ70" s="43">
        <f t="shared" ref="EZ70:EZ101" si="277">IF(DM70="","",IF(EW70/EQ70&gt;1,1,EW70/EQ70))</f>
        <v>0.46666666666666667</v>
      </c>
      <c r="FA70" s="43"/>
      <c r="FB70" s="42">
        <f t="shared" ref="FB70:FB101" si="278">IF(DM70="","",IF(DM70&lt;=$GS$30,2*$DF$12,2*$DF$23))</f>
        <v>4700000</v>
      </c>
      <c r="FC70" s="42">
        <f t="shared" ref="FC70:FC101" si="279">IF(DM70="","",($DF$13)*2)</f>
        <v>5182000</v>
      </c>
      <c r="FD70" s="41">
        <f t="shared" si="240"/>
        <v>54833.333333333336</v>
      </c>
      <c r="FE70" s="41">
        <f t="shared" si="241"/>
        <v>32914.583333333336</v>
      </c>
      <c r="FF70" s="42">
        <f t="shared" ref="FF70:FF101" si="280">IF(DM70="","",ROUND(FB70-FH70,0))</f>
        <v>3509333</v>
      </c>
      <c r="FG70" s="42">
        <f t="shared" ref="FG70:FG101" si="281">IF(DM70="","",ROUND(FC70-FI70,0))</f>
        <v>2106533</v>
      </c>
      <c r="FH70" s="42">
        <f>IF(DM70="","",IF(DU70&gt;0,DU70,FB70-SUM($FD$6:FD70)+SUM($DU$6:DU70)))</f>
        <v>1190666.6666666637</v>
      </c>
      <c r="FI70" s="42">
        <f>IF(DM70="","",FC70-SUM($FE$6:FE70)+SUM($DV$6:DV70)-SUM($DW$6:DW70))</f>
        <v>3075466.6666666684</v>
      </c>
      <c r="FJ70" s="152">
        <f t="shared" ref="FJ70:FJ101" si="282">IF(DM70="","",IF((FH70+FI70)/(FB70+FC70)&gt;1,1,(FH70+FI70)/(FB70+FC70)))</f>
        <v>0.43170748161640682</v>
      </c>
      <c r="FN70" s="8"/>
      <c r="FO70" s="8"/>
      <c r="FP70" s="8"/>
      <c r="FQ70" s="8"/>
      <c r="FR70" s="8"/>
      <c r="FS70" s="8"/>
      <c r="FT70" s="8"/>
      <c r="FU70" s="8"/>
      <c r="GC70" s="68">
        <f t="shared" si="246"/>
        <v>65</v>
      </c>
      <c r="GD70" s="78">
        <f t="shared" si="247"/>
        <v>0</v>
      </c>
      <c r="GE70" s="309">
        <f t="shared" si="248"/>
        <v>0.41613936935394885</v>
      </c>
      <c r="GF70" s="78">
        <f t="shared" si="249"/>
        <v>0</v>
      </c>
      <c r="GG70" s="310">
        <f t="shared" si="250"/>
        <v>0.36990100119953756</v>
      </c>
      <c r="GH70" s="78">
        <f t="shared" si="251"/>
        <v>0</v>
      </c>
      <c r="GI70" s="310">
        <f t="shared" si="252"/>
        <v>0.45833333333333331</v>
      </c>
      <c r="GJ70" s="311">
        <f t="shared" si="253"/>
        <v>0</v>
      </c>
      <c r="GK70" s="310">
        <f t="shared" si="254"/>
        <v>0.39583333333333426</v>
      </c>
      <c r="GL70" s="311">
        <f t="shared" si="255"/>
        <v>0</v>
      </c>
      <c r="GM70" s="310">
        <f t="shared" si="256"/>
        <v>0.42282791101666312</v>
      </c>
      <c r="HB70" s="22"/>
      <c r="HE70" s="9"/>
    </row>
    <row r="71" spans="1:213" x14ac:dyDescent="0.2">
      <c r="C71" s="426">
        <f t="shared" si="243"/>
        <v>41365</v>
      </c>
      <c r="D71" s="155">
        <f t="shared" si="244"/>
        <v>3</v>
      </c>
      <c r="E71" s="155">
        <f t="shared" si="242"/>
        <v>12272520</v>
      </c>
      <c r="F71" s="155"/>
      <c r="G71" s="438">
        <f t="shared" si="245"/>
        <v>122596.73076923078</v>
      </c>
      <c r="I71" s="444">
        <f>IF(D71="","",'Mx FORECAST'!DX9)</f>
        <v>367790.19230769202</v>
      </c>
      <c r="J71" s="155">
        <f>IF(D71="","",'Mx FORECAST'!DP9)</f>
        <v>0</v>
      </c>
      <c r="K71" s="155">
        <f>IF(D71="","",'Mx FORECAST'!DQ9)</f>
        <v>0</v>
      </c>
      <c r="M71" s="155">
        <f>IF(D71="","",'Mx FORECAST'!DR9)</f>
        <v>0</v>
      </c>
      <c r="O71" s="155">
        <f>IF(D71="","",'Mx FORECAST'!DS9)</f>
        <v>0</v>
      </c>
      <c r="Q71" s="155">
        <f>IF(D71="","",'Mx FORECAST'!DT9)</f>
        <v>0</v>
      </c>
      <c r="S71" s="155">
        <f>IF(D71="","",'Mx FORECAST'!DU9)</f>
        <v>0</v>
      </c>
      <c r="U71" s="155">
        <f>IF(D71="","",'Mx FORECAST'!DV9)</f>
        <v>0</v>
      </c>
      <c r="W71" s="540">
        <f>IF(D71="","",'Mx FORECAST'!DY9)</f>
        <v>11904729.807692308</v>
      </c>
      <c r="X71" s="540"/>
      <c r="Y71" s="437">
        <f>IF(D71="","",'Mx FORECAST'!DZ9)</f>
        <v>0.97003140412012434</v>
      </c>
      <c r="AD71" s="155"/>
      <c r="AF71" s="155"/>
      <c r="AH71" s="155"/>
      <c r="AJ71" s="155"/>
      <c r="AK71" s="8"/>
      <c r="AL71" s="8"/>
      <c r="AM71" s="8"/>
      <c r="AN71" s="8"/>
      <c r="AO71" s="8"/>
      <c r="AP71" s="8"/>
      <c r="AQ71" s="7"/>
      <c r="AR71" s="7"/>
      <c r="AS71" s="7"/>
      <c r="AT71" s="7"/>
      <c r="AU71" s="7"/>
      <c r="AV71" s="7"/>
      <c r="AW71" s="7"/>
      <c r="AX71" s="7"/>
      <c r="AY71" s="7"/>
      <c r="AZ71" s="8"/>
      <c r="BN71" s="8"/>
      <c r="BQ71" s="8"/>
      <c r="BT71" s="8"/>
      <c r="BW71" s="8"/>
      <c r="CA71" s="9"/>
      <c r="CB71" s="9"/>
      <c r="CC71" s="8"/>
      <c r="CI71" s="8"/>
      <c r="CL71" s="8"/>
      <c r="CM71" s="8"/>
      <c r="CN71" s="8"/>
      <c r="CO71" s="8"/>
      <c r="CP71" s="8"/>
      <c r="CQ71" s="8"/>
      <c r="CR71" s="8"/>
      <c r="CS71" s="8"/>
      <c r="CT71" s="8"/>
      <c r="CU71" s="8"/>
      <c r="CV71" s="8"/>
      <c r="CW71" s="8"/>
      <c r="CX71" s="8"/>
      <c r="CY71" s="8"/>
      <c r="CZ71" s="8"/>
      <c r="DA71" s="8"/>
      <c r="DM71" s="44">
        <f t="shared" ref="DM71:DM102" si="283">IF(DM70="","",IF(DM70&gt;=$FW$23,"",DM70+1))</f>
        <v>65</v>
      </c>
      <c r="DN71" s="41">
        <f t="shared" si="257"/>
        <v>12307520</v>
      </c>
      <c r="DO71" s="41">
        <f t="shared" ref="DO71:DO102" si="284">IF(DM71="","",SUM(EF71:EH71)+SUM(ES71:ET71)+SUM(FD71:FE71))</f>
        <v>124541.17521367522</v>
      </c>
      <c r="DP71" s="42">
        <f t="shared" si="258"/>
        <v>0</v>
      </c>
      <c r="DQ71" s="42">
        <f t="shared" si="259"/>
        <v>0</v>
      </c>
      <c r="DR71" s="42">
        <f t="shared" si="260"/>
        <v>0</v>
      </c>
      <c r="DS71" s="42">
        <f t="shared" si="261"/>
        <v>0</v>
      </c>
      <c r="DT71" s="42">
        <f t="shared" si="262"/>
        <v>0</v>
      </c>
      <c r="DU71" s="42">
        <f t="shared" si="263"/>
        <v>0</v>
      </c>
      <c r="DV71" s="42">
        <f t="shared" si="264"/>
        <v>0</v>
      </c>
      <c r="DW71" s="42">
        <f t="shared" si="265"/>
        <v>0</v>
      </c>
      <c r="DX71" s="42">
        <f t="shared" si="266"/>
        <v>7185876.3888888871</v>
      </c>
      <c r="DY71" s="42">
        <f>IF(DM71="",DY70,DN71-SUM($DO$6:DO71)+SUM($DP$6:DV71)-SUM($DW$6:DW71))</f>
        <v>5121643.6111111129</v>
      </c>
      <c r="DZ71" s="43">
        <f t="shared" ref="DZ71:DZ102" si="285">IF(DM71="",DZ70,IF(DY71/DN71&gt;1,1,DY71/DN71))</f>
        <v>0.41613936935394885</v>
      </c>
      <c r="EA71" s="43"/>
      <c r="EB71" s="43" t="str">
        <f t="shared" si="146"/>
        <v>False</v>
      </c>
      <c r="EC71" s="41">
        <f t="shared" ref="EC71:EC134" si="286">IF(DM71="","",IF(AND(DM71&lt;=$DI$8,EB71="True"),$DF$6,IF(AND(DM71&lt;=$DI$8,EB71="False"),$DF$7,IF(AND(DM71&gt;$DI$8,EB71="True"),$DF$17,$DF$18))))</f>
        <v>220400</v>
      </c>
      <c r="ED71" s="41">
        <f t="shared" ref="ED71:ED134" si="287">IF(DM71="","",IF(DM71&lt;=$DI$8,$DF$8,$DF$19))</f>
        <v>606690</v>
      </c>
      <c r="EE71" s="41">
        <f t="shared" si="267"/>
        <v>902280</v>
      </c>
      <c r="EF71" s="41">
        <f t="shared" ref="EF71:EF102" si="288">IF(DM71="","",IF(AND(DM71&lt;=$DI$8,EB71="True"),$GA$4*$DK$6,IF(AND(DM71&lt;=$DI$8,EB71="False"),$GA$4*$DK$7,IF(AND(DM71&gt;$DI$8,EB71="True"),$GA$4*$DK$17,$GA$4*$DK$18))))</f>
        <v>12244.444444444445</v>
      </c>
      <c r="EG71" s="42">
        <f t="shared" ref="EG71:EG102" si="289">IF(DM71="","",IF(DM71&lt;=$DI$8,$GA$4*$DK$8,$GA$4*$DK$19))</f>
        <v>8426.25</v>
      </c>
      <c r="EH71" s="42">
        <f t="shared" ref="EH71:EH102" si="290">IF(DM71="","",IF(DM71&lt;=$DI$9,$GA$4*$DK$9,$GA$4*$DK$20))</f>
        <v>6265.8333333333321</v>
      </c>
      <c r="EI71" s="42">
        <f t="shared" si="268"/>
        <v>134689</v>
      </c>
      <c r="EJ71" s="42">
        <f t="shared" si="269"/>
        <v>547706</v>
      </c>
      <c r="EK71" s="42">
        <f t="shared" si="270"/>
        <v>407279</v>
      </c>
      <c r="EL71" s="42">
        <f>IF(DM71="","",EC71-SUM($EF$6:EF71)+SUM($DP$6:DP71))</f>
        <v>85711.111111110658</v>
      </c>
      <c r="EM71" s="42">
        <f>IF(DM71="","",ED71-SUM($EG$6:EG71)+SUM($DQ$6:DQ71))</f>
        <v>58983.75</v>
      </c>
      <c r="EN71" s="42">
        <f>IF(DM71="","",EE71-SUM($EH$6:EH71)+SUM($DR$6:DR71))</f>
        <v>495000.83333333366</v>
      </c>
      <c r="EO71" s="152">
        <f t="shared" si="271"/>
        <v>0.36990100119953756</v>
      </c>
      <c r="EP71" s="43"/>
      <c r="EQ71" s="42">
        <f t="shared" si="272"/>
        <v>448050</v>
      </c>
      <c r="ER71" s="42">
        <f t="shared" si="273"/>
        <v>248100</v>
      </c>
      <c r="ES71" s="42">
        <f t="shared" ref="ES71:ES102" si="291">IF(DM71="","",$GA$4*$DK$10)</f>
        <v>3733.75</v>
      </c>
      <c r="ET71" s="42">
        <f t="shared" ref="ET71:ET102" si="292">IF(DM71="","",$GA$4*$DK$11)</f>
        <v>6122.9807692307695</v>
      </c>
      <c r="EU71" s="42">
        <f t="shared" si="274"/>
        <v>242694</v>
      </c>
      <c r="EV71" s="42">
        <f t="shared" si="275"/>
        <v>149894</v>
      </c>
      <c r="EW71" s="42">
        <f>IF(DM71="","",IF(DS71&gt;0,DS71,EQ71-SUM($ES$6:ES71)+SUM($DS$6:DS71)))</f>
        <v>205356.25</v>
      </c>
      <c r="EX71" s="42">
        <f>IF(DM71="","",IF(DT71&gt;0,DT71,ER71-SUM($ET$6:ET71)+SUM($DT$6:DT71)))</f>
        <v>98206.250000000233</v>
      </c>
      <c r="EY71" s="43">
        <f t="shared" si="276"/>
        <v>0.39583333333333426</v>
      </c>
      <c r="EZ71" s="43">
        <f t="shared" si="277"/>
        <v>0.45833333333333331</v>
      </c>
      <c r="FA71" s="43"/>
      <c r="FB71" s="42">
        <f t="shared" si="278"/>
        <v>4700000</v>
      </c>
      <c r="FC71" s="42">
        <f t="shared" si="279"/>
        <v>5182000</v>
      </c>
      <c r="FD71" s="41">
        <f t="shared" ref="FD71:FD102" si="293">IF(DM71="","",IF(DM71&lt;=$GA$8,$GA$4*$DK$12,$GA$4*$DK$23))</f>
        <v>54833.333333333336</v>
      </c>
      <c r="FE71" s="41">
        <f t="shared" ref="FE71:FE102" si="294">IF(DM71="","",$GA$4*($DK$24))</f>
        <v>32914.583333333336</v>
      </c>
      <c r="FF71" s="42">
        <f t="shared" si="280"/>
        <v>3564167</v>
      </c>
      <c r="FG71" s="42">
        <f t="shared" si="281"/>
        <v>2139448</v>
      </c>
      <c r="FH71" s="42">
        <f>IF(DM71="","",IF(DU71&gt;0,DU71,FB71-SUM($FD$6:FD71)+SUM($DU$6:DU71)))</f>
        <v>1135833.3333333302</v>
      </c>
      <c r="FI71" s="42">
        <f>IF(DM71="","",FC71-SUM($FE$6:FE71)+SUM($DV$6:DV71)-SUM($DW$6:DW71))</f>
        <v>3042552.0833333349</v>
      </c>
      <c r="FJ71" s="152">
        <f t="shared" si="282"/>
        <v>0.42282791101666312</v>
      </c>
      <c r="FN71" s="8"/>
      <c r="FO71" s="8"/>
      <c r="FP71" s="8"/>
      <c r="FQ71" s="8"/>
      <c r="FR71" s="8"/>
      <c r="FS71" s="8"/>
      <c r="FT71" s="8"/>
      <c r="FU71" s="8"/>
      <c r="GC71" s="68">
        <f t="shared" si="246"/>
        <v>66</v>
      </c>
      <c r="GD71" s="78">
        <f t="shared" si="247"/>
        <v>0</v>
      </c>
      <c r="GE71" s="309">
        <f t="shared" si="248"/>
        <v>0.40602025720026763</v>
      </c>
      <c r="GF71" s="78">
        <f t="shared" si="249"/>
        <v>0</v>
      </c>
      <c r="GG71" s="310">
        <f t="shared" si="250"/>
        <v>0.35432508177351668</v>
      </c>
      <c r="GH71" s="78">
        <f t="shared" si="251"/>
        <v>0</v>
      </c>
      <c r="GI71" s="310">
        <f t="shared" si="252"/>
        <v>0.45</v>
      </c>
      <c r="GJ71" s="311">
        <f t="shared" si="253"/>
        <v>0</v>
      </c>
      <c r="GK71" s="310">
        <f t="shared" si="254"/>
        <v>0.37115384615384717</v>
      </c>
      <c r="GL71" s="311">
        <f t="shared" si="255"/>
        <v>0</v>
      </c>
      <c r="GM71" s="310">
        <f t="shared" si="256"/>
        <v>0.41394834041691947</v>
      </c>
      <c r="HB71" s="22"/>
      <c r="HE71" s="9"/>
    </row>
    <row r="72" spans="1:213" x14ac:dyDescent="0.2">
      <c r="B72" s="439"/>
      <c r="C72" s="426">
        <f t="shared" si="243"/>
        <v>41395</v>
      </c>
      <c r="D72" s="155">
        <f t="shared" si="244"/>
        <v>4</v>
      </c>
      <c r="E72" s="155">
        <f t="shared" si="242"/>
        <v>12272520</v>
      </c>
      <c r="F72" s="155"/>
      <c r="G72" s="438">
        <f t="shared" si="245"/>
        <v>122596.73076923078</v>
      </c>
      <c r="I72" s="444">
        <f>IF(D72="","",'Mx FORECAST'!DX10)</f>
        <v>490386.92307692394</v>
      </c>
      <c r="J72" s="155">
        <f>IF(D72="","",'Mx FORECAST'!DP10)</f>
        <v>0</v>
      </c>
      <c r="K72" s="155">
        <f>IF(D72="","",'Mx FORECAST'!DQ10)</f>
        <v>0</v>
      </c>
      <c r="M72" s="155">
        <f>IF(D72="","",'Mx FORECAST'!DR10)</f>
        <v>0</v>
      </c>
      <c r="O72" s="155">
        <f>IF(D72="","",'Mx FORECAST'!DS10)</f>
        <v>0</v>
      </c>
      <c r="Q72" s="155">
        <f>IF(D72="","",'Mx FORECAST'!DT10)</f>
        <v>0</v>
      </c>
      <c r="S72" s="155">
        <f>IF(D72="","",'Mx FORECAST'!DU10)</f>
        <v>0</v>
      </c>
      <c r="U72" s="155">
        <f>IF(D72="","",'Mx FORECAST'!DV10)</f>
        <v>0</v>
      </c>
      <c r="W72" s="540">
        <f>IF(D72="","",'Mx FORECAST'!DY10)</f>
        <v>11782133.076923076</v>
      </c>
      <c r="X72" s="540"/>
      <c r="Y72" s="437">
        <f>IF(D72="","",'Mx FORECAST'!DZ10)</f>
        <v>0.96004187216016568</v>
      </c>
      <c r="AD72" s="155"/>
      <c r="AF72" s="155"/>
      <c r="AH72" s="155"/>
      <c r="AJ72" s="155"/>
      <c r="AK72" s="8"/>
      <c r="AL72" s="8"/>
      <c r="AM72" s="8"/>
      <c r="AN72" s="8"/>
      <c r="AO72" s="8"/>
      <c r="AP72" s="8"/>
      <c r="AQ72" s="7"/>
      <c r="AR72" s="7"/>
      <c r="AS72" s="7"/>
      <c r="AT72" s="7"/>
      <c r="AU72" s="7"/>
      <c r="AV72" s="7"/>
      <c r="AW72" s="7"/>
      <c r="AX72" s="7"/>
      <c r="AY72" s="7"/>
      <c r="AZ72" s="8"/>
      <c r="BQ72" s="8"/>
      <c r="BT72" s="8"/>
      <c r="BW72" s="8"/>
      <c r="CA72" s="9"/>
      <c r="CB72" s="9"/>
      <c r="CC72" s="8"/>
      <c r="CI72" s="8"/>
      <c r="CL72" s="8"/>
      <c r="CM72" s="8"/>
      <c r="CN72" s="8"/>
      <c r="CO72" s="8"/>
      <c r="CP72" s="8"/>
      <c r="CQ72" s="8"/>
      <c r="CR72" s="8"/>
      <c r="CS72" s="8"/>
      <c r="CT72" s="8"/>
      <c r="CU72" s="8"/>
      <c r="CV72" s="8"/>
      <c r="CW72" s="8"/>
      <c r="CX72" s="8"/>
      <c r="CY72" s="8"/>
      <c r="CZ72" s="8"/>
      <c r="DA72" s="8"/>
      <c r="DM72" s="44">
        <f t="shared" si="283"/>
        <v>66</v>
      </c>
      <c r="DN72" s="41">
        <f t="shared" si="257"/>
        <v>12307520</v>
      </c>
      <c r="DO72" s="41">
        <f t="shared" si="284"/>
        <v>124541.17521367522</v>
      </c>
      <c r="DP72" s="42">
        <f t="shared" si="258"/>
        <v>0</v>
      </c>
      <c r="DQ72" s="42">
        <f t="shared" si="259"/>
        <v>0</v>
      </c>
      <c r="DR72" s="42">
        <f t="shared" si="260"/>
        <v>0</v>
      </c>
      <c r="DS72" s="42">
        <f t="shared" si="261"/>
        <v>0</v>
      </c>
      <c r="DT72" s="42">
        <f t="shared" si="262"/>
        <v>0</v>
      </c>
      <c r="DU72" s="42">
        <f t="shared" si="263"/>
        <v>0</v>
      </c>
      <c r="DV72" s="42">
        <f t="shared" si="264"/>
        <v>0</v>
      </c>
      <c r="DW72" s="42">
        <f t="shared" si="265"/>
        <v>0</v>
      </c>
      <c r="DX72" s="42">
        <f t="shared" si="266"/>
        <v>7310417.5641025621</v>
      </c>
      <c r="DY72" s="42">
        <f>IF(DM72="",DY71,DN72-SUM($DO$6:DO72)+SUM($DP$6:DV72)-SUM($DW$6:DW72))</f>
        <v>4997102.4358974379</v>
      </c>
      <c r="DZ72" s="43">
        <f t="shared" si="285"/>
        <v>0.40602025720026763</v>
      </c>
      <c r="EA72" s="43"/>
      <c r="EB72" s="43" t="str">
        <f t="shared" ref="EB72:EB135" si="295">IF(DM72="","",IF(DM72&lt;=$DI$6,"True",IF(AND(DM72&gt;$DI$6,DM72&lt;=2*$DI$6),"False",IF(AND(DM72&gt;2*$DI$6,DM72&lt;=3*$DI$6),"True",IF(AND(DM72&gt;3*$DI$6,DM72&lt;=4*$DI$6),"False",IF(AND(DM72&gt;4*$DI$6,DM72&lt;=5*$DI$6),"True",IF(AND(DM72&gt;5*$DI$6,DM72&lt;=6*$DI$6),"False",IF(AND(DM72&gt;6*$DI$6,DM72&lt;=7*$DI$6),"True",IF(AND(DM72&gt;7*$DI$6,DM72&lt;=8*$DI$6),"False",IF(AND(DM72&gt;8*$DI$6,DM72&lt;=9*$DI$6),"True",IF(AND(DM72&gt;9*$DI$6,DM72&lt;=10*$DI$6),"False","True")))))))))))</f>
        <v>False</v>
      </c>
      <c r="EC72" s="41">
        <f t="shared" si="286"/>
        <v>220400</v>
      </c>
      <c r="ED72" s="41">
        <f t="shared" si="287"/>
        <v>606690</v>
      </c>
      <c r="EE72" s="41">
        <f t="shared" si="267"/>
        <v>902280</v>
      </c>
      <c r="EF72" s="41">
        <f t="shared" si="288"/>
        <v>12244.444444444445</v>
      </c>
      <c r="EG72" s="42">
        <f t="shared" si="289"/>
        <v>8426.25</v>
      </c>
      <c r="EH72" s="42">
        <f t="shared" si="290"/>
        <v>6265.8333333333321</v>
      </c>
      <c r="EI72" s="42">
        <f t="shared" si="268"/>
        <v>146933</v>
      </c>
      <c r="EJ72" s="42">
        <f t="shared" si="269"/>
        <v>556133</v>
      </c>
      <c r="EK72" s="42">
        <f t="shared" si="270"/>
        <v>413545</v>
      </c>
      <c r="EL72" s="42">
        <f>IF(DM72="","",EC72-SUM($EF$6:EF72)+SUM($DP$6:DP72))</f>
        <v>73466.666666666162</v>
      </c>
      <c r="EM72" s="42">
        <f>IF(DM72="","",ED72-SUM($EG$6:EG72)+SUM($DQ$6:DQ72))</f>
        <v>50557.5</v>
      </c>
      <c r="EN72" s="42">
        <f>IF(DM72="","",EE72-SUM($EH$6:EH72)+SUM($DR$6:DR72))</f>
        <v>488735.00000000035</v>
      </c>
      <c r="EO72" s="152">
        <f t="shared" si="271"/>
        <v>0.35432508177351668</v>
      </c>
      <c r="EP72" s="43"/>
      <c r="EQ72" s="42">
        <f t="shared" si="272"/>
        <v>448050</v>
      </c>
      <c r="ER72" s="42">
        <f t="shared" si="273"/>
        <v>248100</v>
      </c>
      <c r="ES72" s="42">
        <f t="shared" si="291"/>
        <v>3733.75</v>
      </c>
      <c r="ET72" s="42">
        <f t="shared" si="292"/>
        <v>6122.9807692307695</v>
      </c>
      <c r="EU72" s="42">
        <f t="shared" si="274"/>
        <v>246428</v>
      </c>
      <c r="EV72" s="42">
        <f t="shared" si="275"/>
        <v>156017</v>
      </c>
      <c r="EW72" s="42">
        <f>IF(DM72="","",IF(DS72&gt;0,DS72,EQ72-SUM($ES$6:ES72)+SUM($DS$6:DS72)))</f>
        <v>201622.5</v>
      </c>
      <c r="EX72" s="42">
        <f>IF(DM72="","",IF(DT72&gt;0,DT72,ER72-SUM($ET$6:ET72)+SUM($DT$6:DT72)))</f>
        <v>92083.269230769482</v>
      </c>
      <c r="EY72" s="43">
        <f t="shared" si="276"/>
        <v>0.37115384615384717</v>
      </c>
      <c r="EZ72" s="43">
        <f t="shared" si="277"/>
        <v>0.45</v>
      </c>
      <c r="FA72" s="43"/>
      <c r="FB72" s="42">
        <f t="shared" si="278"/>
        <v>4700000</v>
      </c>
      <c r="FC72" s="42">
        <f t="shared" si="279"/>
        <v>5182000</v>
      </c>
      <c r="FD72" s="41">
        <f t="shared" si="293"/>
        <v>54833.333333333336</v>
      </c>
      <c r="FE72" s="41">
        <f t="shared" si="294"/>
        <v>32914.583333333336</v>
      </c>
      <c r="FF72" s="42">
        <f t="shared" si="280"/>
        <v>3619000</v>
      </c>
      <c r="FG72" s="42">
        <f t="shared" si="281"/>
        <v>2172363</v>
      </c>
      <c r="FH72" s="42">
        <f>IF(DM72="","",IF(DU72&gt;0,DU72,FB72-SUM($FD$6:FD72)+SUM($DU$6:DU72)))</f>
        <v>1080999.9999999967</v>
      </c>
      <c r="FI72" s="42">
        <f>IF(DM72="","",FC72-SUM($FE$6:FE72)+SUM($DV$6:DV72)-SUM($DW$6:DW72))</f>
        <v>3009637.5000000014</v>
      </c>
      <c r="FJ72" s="152">
        <f t="shared" si="282"/>
        <v>0.41394834041691947</v>
      </c>
      <c r="FN72" s="8"/>
      <c r="FO72" s="8"/>
      <c r="FP72" s="8"/>
      <c r="FQ72" s="8"/>
      <c r="FR72" s="8"/>
      <c r="FS72" s="8"/>
      <c r="FT72" s="8"/>
      <c r="FU72" s="8"/>
      <c r="GC72" s="68">
        <f t="shared" si="246"/>
        <v>67</v>
      </c>
      <c r="GD72" s="78">
        <f t="shared" si="247"/>
        <v>0</v>
      </c>
      <c r="GE72" s="309">
        <f t="shared" si="248"/>
        <v>0.39590114504658636</v>
      </c>
      <c r="GF72" s="78">
        <f t="shared" si="249"/>
        <v>0</v>
      </c>
      <c r="GG72" s="310">
        <f t="shared" si="250"/>
        <v>0.33874916234749575</v>
      </c>
      <c r="GH72" s="78">
        <f t="shared" si="251"/>
        <v>0</v>
      </c>
      <c r="GI72" s="310">
        <f t="shared" si="252"/>
        <v>0.44166666666666665</v>
      </c>
      <c r="GJ72" s="311">
        <f t="shared" si="253"/>
        <v>0</v>
      </c>
      <c r="GK72" s="310">
        <f t="shared" si="254"/>
        <v>0.34647435897436007</v>
      </c>
      <c r="GL72" s="311">
        <f t="shared" si="255"/>
        <v>0</v>
      </c>
      <c r="GM72" s="310">
        <f t="shared" si="256"/>
        <v>0.40506876981717577</v>
      </c>
      <c r="HB72" s="22"/>
      <c r="HE72" s="9"/>
    </row>
    <row r="73" spans="1:213" x14ac:dyDescent="0.2">
      <c r="C73" s="426">
        <f t="shared" si="243"/>
        <v>41426</v>
      </c>
      <c r="D73" s="155">
        <f t="shared" si="244"/>
        <v>5</v>
      </c>
      <c r="E73" s="155">
        <f t="shared" si="242"/>
        <v>12272520</v>
      </c>
      <c r="F73" s="155"/>
      <c r="G73" s="438">
        <f t="shared" si="245"/>
        <v>122596.73076923078</v>
      </c>
      <c r="I73" s="444">
        <f>IF(D73="","",'Mx FORECAST'!DX11)</f>
        <v>612983.65384615399</v>
      </c>
      <c r="J73" s="155">
        <f>IF(D73="","",'Mx FORECAST'!DP11)</f>
        <v>0</v>
      </c>
      <c r="K73" s="155">
        <f>IF(D73="","",'Mx FORECAST'!DQ11)</f>
        <v>0</v>
      </c>
      <c r="M73" s="155">
        <f>IF(D73="","",'Mx FORECAST'!DR11)</f>
        <v>0</v>
      </c>
      <c r="O73" s="155">
        <f>IF(D73="","",'Mx FORECAST'!DS11)</f>
        <v>0</v>
      </c>
      <c r="Q73" s="155">
        <f>IF(D73="","",'Mx FORECAST'!DT11)</f>
        <v>0</v>
      </c>
      <c r="S73" s="155">
        <f>IF(D73="","",'Mx FORECAST'!DU11)</f>
        <v>0</v>
      </c>
      <c r="U73" s="155">
        <f>IF(D73="","",'Mx FORECAST'!DV11)</f>
        <v>0</v>
      </c>
      <c r="W73" s="540">
        <f>IF(D73="","",'Mx FORECAST'!DY11)</f>
        <v>11659536.346153846</v>
      </c>
      <c r="X73" s="540"/>
      <c r="Y73" s="437">
        <f>IF(D73="","",'Mx FORECAST'!DZ11)</f>
        <v>0.95005234020020712</v>
      </c>
      <c r="AD73" s="155"/>
      <c r="AF73" s="155"/>
      <c r="AH73" s="155"/>
      <c r="AJ73" s="155"/>
      <c r="AK73" s="8"/>
      <c r="AL73" s="8"/>
      <c r="AM73" s="8"/>
      <c r="AN73" s="8"/>
      <c r="AO73" s="8"/>
      <c r="AP73" s="8"/>
      <c r="AQ73" s="7"/>
      <c r="AR73" s="7"/>
      <c r="AS73" s="7"/>
      <c r="AT73" s="7"/>
      <c r="AU73" s="7"/>
      <c r="AV73" s="7"/>
      <c r="AW73" s="7"/>
      <c r="AX73" s="7"/>
      <c r="AY73" s="7"/>
      <c r="AZ73" s="8"/>
      <c r="BQ73" s="8"/>
      <c r="BT73" s="8"/>
      <c r="BW73" s="8"/>
      <c r="CA73" s="9"/>
      <c r="CB73" s="9"/>
      <c r="CC73" s="8"/>
      <c r="CI73" s="8"/>
      <c r="CL73" s="8"/>
      <c r="CM73" s="8"/>
      <c r="CN73" s="8"/>
      <c r="CO73" s="8"/>
      <c r="CP73" s="8"/>
      <c r="CQ73" s="8"/>
      <c r="CR73" s="8"/>
      <c r="CS73" s="8"/>
      <c r="CT73" s="8"/>
      <c r="CU73" s="8"/>
      <c r="CV73" s="8"/>
      <c r="CW73" s="8"/>
      <c r="CX73" s="8"/>
      <c r="CY73" s="8"/>
      <c r="CZ73" s="8"/>
      <c r="DA73" s="8"/>
      <c r="DM73" s="44">
        <f t="shared" si="283"/>
        <v>67</v>
      </c>
      <c r="DN73" s="41">
        <f t="shared" si="257"/>
        <v>12307520</v>
      </c>
      <c r="DO73" s="41">
        <f t="shared" si="284"/>
        <v>124541.17521367522</v>
      </c>
      <c r="DP73" s="42">
        <f t="shared" si="258"/>
        <v>0</v>
      </c>
      <c r="DQ73" s="42">
        <f t="shared" si="259"/>
        <v>0</v>
      </c>
      <c r="DR73" s="42">
        <f t="shared" si="260"/>
        <v>0</v>
      </c>
      <c r="DS73" s="42">
        <f t="shared" si="261"/>
        <v>0</v>
      </c>
      <c r="DT73" s="42">
        <f t="shared" si="262"/>
        <v>0</v>
      </c>
      <c r="DU73" s="42">
        <f t="shared" si="263"/>
        <v>0</v>
      </c>
      <c r="DV73" s="42">
        <f t="shared" si="264"/>
        <v>0</v>
      </c>
      <c r="DW73" s="42">
        <f t="shared" si="265"/>
        <v>0</v>
      </c>
      <c r="DX73" s="42">
        <f t="shared" si="266"/>
        <v>7434958.7393162372</v>
      </c>
      <c r="DY73" s="42">
        <f>IF(DM73="",DY72,DN73-SUM($DO$6:DO73)+SUM($DP$6:DV73)-SUM($DW$6:DW73))</f>
        <v>4872561.2606837628</v>
      </c>
      <c r="DZ73" s="43">
        <f t="shared" si="285"/>
        <v>0.39590114504658636</v>
      </c>
      <c r="EA73" s="43"/>
      <c r="EB73" s="43" t="str">
        <f t="shared" si="295"/>
        <v>False</v>
      </c>
      <c r="EC73" s="41">
        <f t="shared" si="286"/>
        <v>220400</v>
      </c>
      <c r="ED73" s="41">
        <f t="shared" si="287"/>
        <v>606690</v>
      </c>
      <c r="EE73" s="41">
        <f t="shared" si="267"/>
        <v>902280</v>
      </c>
      <c r="EF73" s="41">
        <f t="shared" si="288"/>
        <v>12244.444444444445</v>
      </c>
      <c r="EG73" s="42">
        <f t="shared" si="289"/>
        <v>8426.25</v>
      </c>
      <c r="EH73" s="42">
        <f t="shared" si="290"/>
        <v>6265.8333333333321</v>
      </c>
      <c r="EI73" s="42">
        <f t="shared" si="268"/>
        <v>159178</v>
      </c>
      <c r="EJ73" s="42">
        <f t="shared" si="269"/>
        <v>564559</v>
      </c>
      <c r="EK73" s="42">
        <f t="shared" si="270"/>
        <v>419811</v>
      </c>
      <c r="EL73" s="42">
        <f>IF(DM73="","",EC73-SUM($EF$6:EF73)+SUM($DP$6:DP73))</f>
        <v>61222.222222221666</v>
      </c>
      <c r="EM73" s="42">
        <f>IF(DM73="","",ED73-SUM($EG$6:EG73)+SUM($DQ$6:DQ73))</f>
        <v>42131.25</v>
      </c>
      <c r="EN73" s="42">
        <f>IF(DM73="","",EE73-SUM($EH$6:EH73)+SUM($DR$6:DR73))</f>
        <v>482469.16666666704</v>
      </c>
      <c r="EO73" s="152">
        <f t="shared" si="271"/>
        <v>0.33874916234749575</v>
      </c>
      <c r="EP73" s="43"/>
      <c r="EQ73" s="42">
        <f t="shared" si="272"/>
        <v>448050</v>
      </c>
      <c r="ER73" s="42">
        <f t="shared" si="273"/>
        <v>248100</v>
      </c>
      <c r="ES73" s="42">
        <f t="shared" si="291"/>
        <v>3733.75</v>
      </c>
      <c r="ET73" s="42">
        <f t="shared" si="292"/>
        <v>6122.9807692307695</v>
      </c>
      <c r="EU73" s="42">
        <f t="shared" si="274"/>
        <v>250161</v>
      </c>
      <c r="EV73" s="42">
        <f t="shared" si="275"/>
        <v>162140</v>
      </c>
      <c r="EW73" s="42">
        <f>IF(DM73="","",IF(DS73&gt;0,DS73,EQ73-SUM($ES$6:ES73)+SUM($DS$6:DS73)))</f>
        <v>197888.75</v>
      </c>
      <c r="EX73" s="42">
        <f>IF(DM73="","",IF(DT73&gt;0,DT73,ER73-SUM($ET$6:ET73)+SUM($DT$6:DT73)))</f>
        <v>85960.28846153873</v>
      </c>
      <c r="EY73" s="43">
        <f t="shared" si="276"/>
        <v>0.34647435897436007</v>
      </c>
      <c r="EZ73" s="43">
        <f t="shared" si="277"/>
        <v>0.44166666666666665</v>
      </c>
      <c r="FA73" s="43"/>
      <c r="FB73" s="42">
        <f t="shared" si="278"/>
        <v>4700000</v>
      </c>
      <c r="FC73" s="42">
        <f t="shared" si="279"/>
        <v>5182000</v>
      </c>
      <c r="FD73" s="41">
        <f t="shared" si="293"/>
        <v>54833.333333333336</v>
      </c>
      <c r="FE73" s="41">
        <f t="shared" si="294"/>
        <v>32914.583333333336</v>
      </c>
      <c r="FF73" s="42">
        <f t="shared" si="280"/>
        <v>3673833</v>
      </c>
      <c r="FG73" s="42">
        <f t="shared" si="281"/>
        <v>2205277</v>
      </c>
      <c r="FH73" s="42">
        <f>IF(DM73="","",IF(DU73&gt;0,DU73,FB73-SUM($FD$6:FD73)+SUM($DU$6:DU73)))</f>
        <v>1026166.6666666633</v>
      </c>
      <c r="FI73" s="42">
        <f>IF(DM73="","",FC73-SUM($FE$6:FE73)+SUM($DV$6:DV73)-SUM($DW$6:DW73))</f>
        <v>2976722.9166666679</v>
      </c>
      <c r="FJ73" s="152">
        <f t="shared" si="282"/>
        <v>0.40506876981717577</v>
      </c>
      <c r="FN73" s="8"/>
      <c r="FO73" s="8"/>
      <c r="FP73" s="8"/>
      <c r="FQ73" s="8"/>
      <c r="FR73" s="8"/>
      <c r="FS73" s="8"/>
      <c r="FT73" s="8"/>
      <c r="FU73" s="8"/>
      <c r="GC73" s="68">
        <f t="shared" si="246"/>
        <v>68</v>
      </c>
      <c r="GD73" s="78">
        <f t="shared" si="247"/>
        <v>0</v>
      </c>
      <c r="GE73" s="309">
        <f t="shared" si="248"/>
        <v>0.38578203289290514</v>
      </c>
      <c r="GF73" s="78">
        <f t="shared" si="249"/>
        <v>0</v>
      </c>
      <c r="GG73" s="310">
        <f t="shared" si="250"/>
        <v>0.32317324292147481</v>
      </c>
      <c r="GH73" s="78">
        <f t="shared" si="251"/>
        <v>0</v>
      </c>
      <c r="GI73" s="310">
        <f t="shared" si="252"/>
        <v>0.43333333333333335</v>
      </c>
      <c r="GJ73" s="311">
        <f t="shared" si="253"/>
        <v>0</v>
      </c>
      <c r="GK73" s="310">
        <f t="shared" si="254"/>
        <v>0.32179487179487293</v>
      </c>
      <c r="GL73" s="311">
        <f t="shared" si="255"/>
        <v>0</v>
      </c>
      <c r="GM73" s="310">
        <f t="shared" si="256"/>
        <v>0.39618919921743212</v>
      </c>
      <c r="HB73" s="22"/>
      <c r="HE73" s="9"/>
    </row>
    <row r="74" spans="1:213" x14ac:dyDescent="0.2">
      <c r="C74" s="426">
        <f t="shared" si="243"/>
        <v>41456</v>
      </c>
      <c r="D74" s="155">
        <f t="shared" si="244"/>
        <v>6</v>
      </c>
      <c r="E74" s="155">
        <f t="shared" si="242"/>
        <v>12272520</v>
      </c>
      <c r="F74" s="155"/>
      <c r="G74" s="438">
        <f t="shared" si="245"/>
        <v>122596.73076923078</v>
      </c>
      <c r="I74" s="444">
        <f>IF(D74="","",'Mx FORECAST'!DX12)</f>
        <v>735580.38461538404</v>
      </c>
      <c r="J74" s="155">
        <f>IF(D74="","",'Mx FORECAST'!DP12)</f>
        <v>0</v>
      </c>
      <c r="K74" s="155">
        <f>IF(D74="","",'Mx FORECAST'!DQ12)</f>
        <v>0</v>
      </c>
      <c r="M74" s="155">
        <f>IF(D74="","",'Mx FORECAST'!DR12)</f>
        <v>0</v>
      </c>
      <c r="O74" s="155">
        <f>IF(D74="","",'Mx FORECAST'!DS12)</f>
        <v>0</v>
      </c>
      <c r="Q74" s="155">
        <f>IF(D74="","",'Mx FORECAST'!DT12)</f>
        <v>0</v>
      </c>
      <c r="S74" s="155">
        <f>IF(D74="","",'Mx FORECAST'!DU12)</f>
        <v>0</v>
      </c>
      <c r="U74" s="155">
        <f>IF(D74="","",'Mx FORECAST'!DV12)</f>
        <v>0</v>
      </c>
      <c r="W74" s="540">
        <f>IF(D74="","",'Mx FORECAST'!DY12)</f>
        <v>11536939.615384616</v>
      </c>
      <c r="X74" s="540"/>
      <c r="Y74" s="437">
        <f>IF(D74="","",'Mx FORECAST'!DZ12)</f>
        <v>0.94006280824024857</v>
      </c>
      <c r="AD74" s="155"/>
      <c r="AF74" s="155"/>
      <c r="AH74" s="155"/>
      <c r="AJ74" s="155"/>
      <c r="AK74" s="8"/>
      <c r="AL74" s="8"/>
      <c r="AM74" s="8"/>
      <c r="AN74" s="8"/>
      <c r="AO74" s="8"/>
      <c r="AP74" s="8"/>
      <c r="AQ74" s="7"/>
      <c r="AR74" s="7"/>
      <c r="AS74" s="7"/>
      <c r="AT74" s="7"/>
      <c r="AU74" s="7"/>
      <c r="AV74" s="7"/>
      <c r="AW74" s="7"/>
      <c r="AX74" s="7"/>
      <c r="AY74" s="7"/>
      <c r="AZ74" s="8"/>
      <c r="BQ74" s="8"/>
      <c r="BT74" s="8"/>
      <c r="CA74" s="9"/>
      <c r="CB74" s="9"/>
      <c r="CC74" s="8"/>
      <c r="CI74" s="8"/>
      <c r="CL74" s="8"/>
      <c r="CM74" s="8"/>
      <c r="CN74" s="8"/>
      <c r="CO74" s="8"/>
      <c r="CP74" s="8"/>
      <c r="CQ74" s="8"/>
      <c r="CR74" s="8"/>
      <c r="CS74" s="8"/>
      <c r="CT74" s="8"/>
      <c r="CU74" s="8"/>
      <c r="CV74" s="8"/>
      <c r="CW74" s="8"/>
      <c r="CX74" s="8"/>
      <c r="CY74" s="8"/>
      <c r="CZ74" s="8"/>
      <c r="DA74" s="8"/>
      <c r="DM74" s="44">
        <f t="shared" si="283"/>
        <v>68</v>
      </c>
      <c r="DN74" s="41">
        <f t="shared" si="257"/>
        <v>12307520</v>
      </c>
      <c r="DO74" s="41">
        <f t="shared" si="284"/>
        <v>124541.17521367522</v>
      </c>
      <c r="DP74" s="42">
        <f t="shared" si="258"/>
        <v>0</v>
      </c>
      <c r="DQ74" s="42">
        <f t="shared" si="259"/>
        <v>0</v>
      </c>
      <c r="DR74" s="42">
        <f t="shared" si="260"/>
        <v>0</v>
      </c>
      <c r="DS74" s="42">
        <f t="shared" si="261"/>
        <v>0</v>
      </c>
      <c r="DT74" s="42">
        <f t="shared" si="262"/>
        <v>0</v>
      </c>
      <c r="DU74" s="42">
        <f t="shared" si="263"/>
        <v>0</v>
      </c>
      <c r="DV74" s="42">
        <f t="shared" si="264"/>
        <v>0</v>
      </c>
      <c r="DW74" s="42">
        <f t="shared" si="265"/>
        <v>0</v>
      </c>
      <c r="DX74" s="42">
        <f t="shared" si="266"/>
        <v>7559499.9145299122</v>
      </c>
      <c r="DY74" s="42">
        <f>IF(DM74="",DY73,DN74-SUM($DO$6:DO74)+SUM($DP$6:DV74)-SUM($DW$6:DW74))</f>
        <v>4748020.0854700878</v>
      </c>
      <c r="DZ74" s="43">
        <f t="shared" si="285"/>
        <v>0.38578203289290514</v>
      </c>
      <c r="EA74" s="43"/>
      <c r="EB74" s="43" t="str">
        <f t="shared" si="295"/>
        <v>False</v>
      </c>
      <c r="EC74" s="41">
        <f t="shared" si="286"/>
        <v>220400</v>
      </c>
      <c r="ED74" s="41">
        <f t="shared" si="287"/>
        <v>606690</v>
      </c>
      <c r="EE74" s="41">
        <f t="shared" si="267"/>
        <v>902280</v>
      </c>
      <c r="EF74" s="41">
        <f t="shared" si="288"/>
        <v>12244.444444444445</v>
      </c>
      <c r="EG74" s="42">
        <f t="shared" si="289"/>
        <v>8426.25</v>
      </c>
      <c r="EH74" s="42">
        <f t="shared" si="290"/>
        <v>6265.8333333333321</v>
      </c>
      <c r="EI74" s="42">
        <f t="shared" si="268"/>
        <v>171422</v>
      </c>
      <c r="EJ74" s="42">
        <f t="shared" si="269"/>
        <v>572985</v>
      </c>
      <c r="EK74" s="42">
        <f t="shared" si="270"/>
        <v>426077</v>
      </c>
      <c r="EL74" s="42">
        <f>IF(DM74="","",EC74-SUM($EF$6:EF74)+SUM($DP$6:DP74))</f>
        <v>48977.77777777717</v>
      </c>
      <c r="EM74" s="42">
        <f>IF(DM74="","",ED74-SUM($EG$6:EG74)+SUM($DQ$6:DQ74))</f>
        <v>33705</v>
      </c>
      <c r="EN74" s="42">
        <f>IF(DM74="","",EE74-SUM($EH$6:EH74)+SUM($DR$6:DR74))</f>
        <v>476203.33333333372</v>
      </c>
      <c r="EO74" s="152">
        <f t="shared" si="271"/>
        <v>0.32317324292147481</v>
      </c>
      <c r="EP74" s="43"/>
      <c r="EQ74" s="42">
        <f t="shared" si="272"/>
        <v>448050</v>
      </c>
      <c r="ER74" s="42">
        <f t="shared" si="273"/>
        <v>248100</v>
      </c>
      <c r="ES74" s="42">
        <f t="shared" si="291"/>
        <v>3733.75</v>
      </c>
      <c r="ET74" s="42">
        <f t="shared" si="292"/>
        <v>6122.9807692307695</v>
      </c>
      <c r="EU74" s="42">
        <f t="shared" si="274"/>
        <v>253895</v>
      </c>
      <c r="EV74" s="42">
        <f t="shared" si="275"/>
        <v>168263</v>
      </c>
      <c r="EW74" s="42">
        <f>IF(DM74="","",IF(DS74&gt;0,DS74,EQ74-SUM($ES$6:ES74)+SUM($DS$6:DS74)))</f>
        <v>194155</v>
      </c>
      <c r="EX74" s="42">
        <f>IF(DM74="","",IF(DT74&gt;0,DT74,ER74-SUM($ET$6:ET74)+SUM($DT$6:DT74)))</f>
        <v>79837.307692307979</v>
      </c>
      <c r="EY74" s="43">
        <f t="shared" si="276"/>
        <v>0.32179487179487293</v>
      </c>
      <c r="EZ74" s="43">
        <f t="shared" si="277"/>
        <v>0.43333333333333335</v>
      </c>
      <c r="FA74" s="43"/>
      <c r="FB74" s="42">
        <f t="shared" si="278"/>
        <v>4700000</v>
      </c>
      <c r="FC74" s="42">
        <f t="shared" si="279"/>
        <v>5182000</v>
      </c>
      <c r="FD74" s="41">
        <f t="shared" si="293"/>
        <v>54833.333333333336</v>
      </c>
      <c r="FE74" s="41">
        <f t="shared" si="294"/>
        <v>32914.583333333336</v>
      </c>
      <c r="FF74" s="42">
        <f t="shared" si="280"/>
        <v>3728667</v>
      </c>
      <c r="FG74" s="42">
        <f t="shared" si="281"/>
        <v>2238192</v>
      </c>
      <c r="FH74" s="42">
        <f>IF(DM74="","",IF(DU74&gt;0,DU74,FB74-SUM($FD$6:FD74)+SUM($DU$6:DU74)))</f>
        <v>971333.33333332976</v>
      </c>
      <c r="FI74" s="42">
        <f>IF(DM74="","",FC74-SUM($FE$6:FE74)+SUM($DV$6:DV74)-SUM($DW$6:DW74))</f>
        <v>2943808.3333333344</v>
      </c>
      <c r="FJ74" s="152">
        <f t="shared" si="282"/>
        <v>0.39618919921743212</v>
      </c>
      <c r="FN74" s="8"/>
      <c r="FO74" s="8"/>
      <c r="FP74" s="8"/>
      <c r="FQ74" s="8"/>
      <c r="FR74" s="8"/>
      <c r="FS74" s="8"/>
      <c r="FT74" s="8"/>
      <c r="FU74" s="8"/>
      <c r="GC74" s="68">
        <f t="shared" si="246"/>
        <v>69</v>
      </c>
      <c r="GD74" s="78">
        <f t="shared" si="247"/>
        <v>0</v>
      </c>
      <c r="GE74" s="309">
        <f t="shared" si="248"/>
        <v>0.3756629207392238</v>
      </c>
      <c r="GF74" s="78">
        <f t="shared" si="249"/>
        <v>0</v>
      </c>
      <c r="GG74" s="310">
        <f t="shared" si="250"/>
        <v>0.30759732349545382</v>
      </c>
      <c r="GH74" s="78">
        <f t="shared" si="251"/>
        <v>0</v>
      </c>
      <c r="GI74" s="310">
        <f t="shared" si="252"/>
        <v>0.42499999999999999</v>
      </c>
      <c r="GJ74" s="311">
        <f t="shared" si="253"/>
        <v>0</v>
      </c>
      <c r="GK74" s="310">
        <f t="shared" si="254"/>
        <v>0.29711538461538584</v>
      </c>
      <c r="GL74" s="311">
        <f t="shared" si="255"/>
        <v>0</v>
      </c>
      <c r="GM74" s="310">
        <f t="shared" si="256"/>
        <v>0.38730962861768842</v>
      </c>
      <c r="HB74" s="22"/>
      <c r="HE74" s="9"/>
    </row>
    <row r="75" spans="1:213" x14ac:dyDescent="0.2">
      <c r="B75" s="440"/>
      <c r="C75" s="426">
        <f t="shared" si="243"/>
        <v>41487</v>
      </c>
      <c r="D75" s="155">
        <f t="shared" si="244"/>
        <v>7</v>
      </c>
      <c r="E75" s="155">
        <f t="shared" si="242"/>
        <v>12272520</v>
      </c>
      <c r="F75" s="155"/>
      <c r="G75" s="438">
        <f t="shared" si="245"/>
        <v>122596.73076923078</v>
      </c>
      <c r="I75" s="444">
        <f>IF(D75="","",'Mx FORECAST'!DX13)</f>
        <v>858177.11538461596</v>
      </c>
      <c r="J75" s="155">
        <f>IF(D75="","",'Mx FORECAST'!DP13)</f>
        <v>0</v>
      </c>
      <c r="K75" s="155">
        <f>IF(D75="","",'Mx FORECAST'!DQ13)</f>
        <v>0</v>
      </c>
      <c r="M75" s="155">
        <f>IF(D75="","",'Mx FORECAST'!DR13)</f>
        <v>0</v>
      </c>
      <c r="O75" s="155">
        <f>IF(D75="","",'Mx FORECAST'!DS13)</f>
        <v>0</v>
      </c>
      <c r="Q75" s="155">
        <f>IF(D75="","",'Mx FORECAST'!DT13)</f>
        <v>0</v>
      </c>
      <c r="S75" s="155">
        <f>IF(D75="","",'Mx FORECAST'!DU13)</f>
        <v>0</v>
      </c>
      <c r="U75" s="155">
        <f>IF(D75="","",'Mx FORECAST'!DV13)</f>
        <v>0</v>
      </c>
      <c r="W75" s="540">
        <f>IF(D75="","",'Mx FORECAST'!DY13)</f>
        <v>11414342.884615384</v>
      </c>
      <c r="X75" s="540"/>
      <c r="Y75" s="437">
        <f>IF(D75="","",'Mx FORECAST'!DZ13)</f>
        <v>0.93007327628028991</v>
      </c>
      <c r="AD75" s="155"/>
      <c r="AF75" s="155"/>
      <c r="AH75" s="155"/>
      <c r="AJ75" s="155"/>
      <c r="AK75" s="8"/>
      <c r="AL75" s="8"/>
      <c r="AM75" s="8"/>
      <c r="AN75" s="8"/>
      <c r="AO75" s="8"/>
      <c r="AP75" s="8"/>
      <c r="AQ75" s="7"/>
      <c r="AR75" s="7"/>
      <c r="AS75" s="7"/>
      <c r="AT75" s="7"/>
      <c r="AU75" s="7"/>
      <c r="AV75" s="7"/>
      <c r="AW75" s="7"/>
      <c r="AX75" s="7"/>
      <c r="AY75" s="7"/>
      <c r="AZ75" s="8"/>
      <c r="BM75" s="47"/>
      <c r="BQ75" s="8"/>
      <c r="BS75" s="47"/>
      <c r="BW75" s="8"/>
      <c r="BY75" s="47"/>
      <c r="BZ75" s="9"/>
      <c r="CA75" s="9"/>
      <c r="CB75" s="9"/>
      <c r="CC75" s="8"/>
      <c r="CE75" s="47"/>
      <c r="CI75" s="8"/>
      <c r="CK75" s="47"/>
      <c r="DM75" s="44">
        <f t="shared" si="283"/>
        <v>69</v>
      </c>
      <c r="DN75" s="41">
        <f t="shared" si="257"/>
        <v>12307520</v>
      </c>
      <c r="DO75" s="41">
        <f t="shared" si="284"/>
        <v>124541.17521367522</v>
      </c>
      <c r="DP75" s="42">
        <f t="shared" si="258"/>
        <v>0</v>
      </c>
      <c r="DQ75" s="42">
        <f t="shared" si="259"/>
        <v>0</v>
      </c>
      <c r="DR75" s="42">
        <f t="shared" si="260"/>
        <v>0</v>
      </c>
      <c r="DS75" s="42">
        <f t="shared" si="261"/>
        <v>0</v>
      </c>
      <c r="DT75" s="42">
        <f t="shared" si="262"/>
        <v>0</v>
      </c>
      <c r="DU75" s="42">
        <f t="shared" si="263"/>
        <v>0</v>
      </c>
      <c r="DV75" s="42">
        <f t="shared" si="264"/>
        <v>0</v>
      </c>
      <c r="DW75" s="42">
        <f t="shared" si="265"/>
        <v>0</v>
      </c>
      <c r="DX75" s="42">
        <f t="shared" si="266"/>
        <v>7684041.0897435881</v>
      </c>
      <c r="DY75" s="42">
        <f>IF(DM75="",DY74,DN75-SUM($DO$6:DO75)+SUM($DP$6:DV75)-SUM($DW$6:DW75))</f>
        <v>4623478.9102564119</v>
      </c>
      <c r="DZ75" s="43">
        <f t="shared" si="285"/>
        <v>0.3756629207392238</v>
      </c>
      <c r="EA75" s="43"/>
      <c r="EB75" s="43" t="str">
        <f t="shared" si="295"/>
        <v>False</v>
      </c>
      <c r="EC75" s="41">
        <f t="shared" si="286"/>
        <v>220400</v>
      </c>
      <c r="ED75" s="41">
        <f t="shared" si="287"/>
        <v>606690</v>
      </c>
      <c r="EE75" s="41">
        <f t="shared" si="267"/>
        <v>902280</v>
      </c>
      <c r="EF75" s="41">
        <f t="shared" si="288"/>
        <v>12244.444444444445</v>
      </c>
      <c r="EG75" s="42">
        <f t="shared" si="289"/>
        <v>8426.25</v>
      </c>
      <c r="EH75" s="42">
        <f t="shared" si="290"/>
        <v>6265.8333333333321</v>
      </c>
      <c r="EI75" s="42">
        <f t="shared" si="268"/>
        <v>183667</v>
      </c>
      <c r="EJ75" s="42">
        <f t="shared" si="269"/>
        <v>581411</v>
      </c>
      <c r="EK75" s="42">
        <f t="shared" si="270"/>
        <v>432343</v>
      </c>
      <c r="EL75" s="42">
        <f>IF(DM75="","",EC75-SUM($EF$6:EF75)+SUM($DP$6:DP75))</f>
        <v>36733.333333332674</v>
      </c>
      <c r="EM75" s="42">
        <f>IF(DM75="","",ED75-SUM($EG$6:EG75)+SUM($DQ$6:DQ75))</f>
        <v>25278.75</v>
      </c>
      <c r="EN75" s="42">
        <f>IF(DM75="","",EE75-SUM($EH$6:EH75)+SUM($DR$6:DR75))</f>
        <v>469937.50000000041</v>
      </c>
      <c r="EO75" s="152">
        <f t="shared" si="271"/>
        <v>0.30759732349545382</v>
      </c>
      <c r="EP75" s="43"/>
      <c r="EQ75" s="42">
        <f t="shared" si="272"/>
        <v>448050</v>
      </c>
      <c r="ER75" s="42">
        <f t="shared" si="273"/>
        <v>248100</v>
      </c>
      <c r="ES75" s="42">
        <f t="shared" si="291"/>
        <v>3733.75</v>
      </c>
      <c r="ET75" s="42">
        <f t="shared" si="292"/>
        <v>6122.9807692307695</v>
      </c>
      <c r="EU75" s="42">
        <f t="shared" si="274"/>
        <v>257629</v>
      </c>
      <c r="EV75" s="42">
        <f t="shared" si="275"/>
        <v>174386</v>
      </c>
      <c r="EW75" s="42">
        <f>IF(DM75="","",IF(DS75&gt;0,DS75,EQ75-SUM($ES$6:ES75)+SUM($DS$6:DS75)))</f>
        <v>190421.25</v>
      </c>
      <c r="EX75" s="42">
        <f>IF(DM75="","",IF(DT75&gt;0,DT75,ER75-SUM($ET$6:ET75)+SUM($DT$6:DT75)))</f>
        <v>73714.326923077228</v>
      </c>
      <c r="EY75" s="43">
        <f t="shared" si="276"/>
        <v>0.29711538461538584</v>
      </c>
      <c r="EZ75" s="43">
        <f t="shared" si="277"/>
        <v>0.42499999999999999</v>
      </c>
      <c r="FA75" s="43"/>
      <c r="FB75" s="42">
        <f t="shared" si="278"/>
        <v>4700000</v>
      </c>
      <c r="FC75" s="42">
        <f t="shared" si="279"/>
        <v>5182000</v>
      </c>
      <c r="FD75" s="41">
        <f t="shared" si="293"/>
        <v>54833.333333333336</v>
      </c>
      <c r="FE75" s="41">
        <f t="shared" si="294"/>
        <v>32914.583333333336</v>
      </c>
      <c r="FF75" s="42">
        <f t="shared" si="280"/>
        <v>3783500</v>
      </c>
      <c r="FG75" s="42">
        <f t="shared" si="281"/>
        <v>2271106</v>
      </c>
      <c r="FH75" s="42">
        <f>IF(DM75="","",IF(DU75&gt;0,DU75,FB75-SUM($FD$6:FD75)+SUM($DU$6:DU75)))</f>
        <v>916499.99999999627</v>
      </c>
      <c r="FI75" s="42">
        <f>IF(DM75="","",FC75-SUM($FE$6:FE75)+SUM($DV$6:DV75)-SUM($DW$6:DW75))</f>
        <v>2910893.7500000009</v>
      </c>
      <c r="FJ75" s="152">
        <f t="shared" si="282"/>
        <v>0.38730962861768842</v>
      </c>
      <c r="FN75" s="8"/>
      <c r="FO75" s="8"/>
      <c r="FP75" s="8"/>
      <c r="FQ75" s="8"/>
      <c r="FR75" s="8"/>
      <c r="FS75" s="8"/>
      <c r="FT75" s="8"/>
      <c r="FU75" s="8"/>
      <c r="GC75" s="68">
        <f t="shared" si="246"/>
        <v>70</v>
      </c>
      <c r="GD75" s="78">
        <f t="shared" si="247"/>
        <v>0</v>
      </c>
      <c r="GE75" s="309">
        <f t="shared" si="248"/>
        <v>0.36554380858554247</v>
      </c>
      <c r="GF75" s="78">
        <f t="shared" si="249"/>
        <v>0</v>
      </c>
      <c r="GG75" s="310">
        <f t="shared" si="250"/>
        <v>0.29202140406943294</v>
      </c>
      <c r="GH75" s="78">
        <f t="shared" si="251"/>
        <v>0</v>
      </c>
      <c r="GI75" s="310">
        <f t="shared" si="252"/>
        <v>0.41666666666666669</v>
      </c>
      <c r="GJ75" s="311">
        <f t="shared" si="253"/>
        <v>0</v>
      </c>
      <c r="GK75" s="310">
        <f t="shared" si="254"/>
        <v>0.27243589743589874</v>
      </c>
      <c r="GL75" s="311">
        <f t="shared" si="255"/>
        <v>0</v>
      </c>
      <c r="GM75" s="310">
        <f t="shared" si="256"/>
        <v>0.37843005801794477</v>
      </c>
      <c r="HB75" s="22"/>
      <c r="HE75" s="9"/>
    </row>
    <row r="76" spans="1:213" x14ac:dyDescent="0.2">
      <c r="C76" s="426">
        <f t="shared" si="243"/>
        <v>41518</v>
      </c>
      <c r="D76" s="155">
        <f t="shared" si="244"/>
        <v>8</v>
      </c>
      <c r="E76" s="155">
        <f t="shared" si="242"/>
        <v>12272520</v>
      </c>
      <c r="F76" s="155"/>
      <c r="G76" s="438">
        <f t="shared" si="245"/>
        <v>122596.73076923078</v>
      </c>
      <c r="I76" s="444">
        <f>IF(D76="","",'Mx FORECAST'!DX14)</f>
        <v>980773.84615384601</v>
      </c>
      <c r="J76" s="155">
        <f>IF(D76="","",'Mx FORECAST'!DP14)</f>
        <v>0</v>
      </c>
      <c r="K76" s="155">
        <f>IF(D76="","",'Mx FORECAST'!DQ14)</f>
        <v>0</v>
      </c>
      <c r="M76" s="155">
        <f>IF(D76="","",'Mx FORECAST'!DR14)</f>
        <v>0</v>
      </c>
      <c r="O76" s="155">
        <f>IF(D76="","",'Mx FORECAST'!DS14)</f>
        <v>0</v>
      </c>
      <c r="Q76" s="155">
        <f>IF(D76="","",'Mx FORECAST'!DT14)</f>
        <v>0</v>
      </c>
      <c r="S76" s="155">
        <f>IF(D76="","",'Mx FORECAST'!DU14)</f>
        <v>0</v>
      </c>
      <c r="U76" s="155">
        <f>IF(D76="","",'Mx FORECAST'!DV14)</f>
        <v>0</v>
      </c>
      <c r="W76" s="540">
        <f>IF(D76="","",'Mx FORECAST'!DY14)</f>
        <v>11291746.153846154</v>
      </c>
      <c r="X76" s="540"/>
      <c r="Y76" s="437">
        <f>IF(D76="","",'Mx FORECAST'!DZ14)</f>
        <v>0.92008374432033146</v>
      </c>
      <c r="AD76" s="155"/>
      <c r="AF76" s="155"/>
      <c r="AH76" s="155"/>
      <c r="AJ76" s="155"/>
      <c r="AK76" s="8"/>
      <c r="AL76" s="8"/>
      <c r="AM76" s="8"/>
      <c r="AN76" s="8"/>
      <c r="AO76" s="8"/>
      <c r="AP76" s="8"/>
      <c r="AQ76" s="7"/>
      <c r="AR76" s="7"/>
      <c r="AS76" s="7"/>
      <c r="AT76" s="7"/>
      <c r="AU76" s="7"/>
      <c r="AV76" s="7"/>
      <c r="AW76" s="7"/>
      <c r="AX76" s="7"/>
      <c r="AY76" s="7"/>
      <c r="AZ76" s="8"/>
      <c r="BG76" s="22"/>
      <c r="BL76" s="22"/>
      <c r="BM76" s="47"/>
      <c r="BO76" s="22"/>
      <c r="BQ76" s="8"/>
      <c r="BR76" s="22"/>
      <c r="BS76" s="47"/>
      <c r="BU76" s="22"/>
      <c r="BW76" s="8"/>
      <c r="BX76" s="22"/>
      <c r="BY76" s="47"/>
      <c r="BZ76" s="9"/>
      <c r="CA76" s="22"/>
      <c r="CB76" s="9"/>
      <c r="CC76" s="8"/>
      <c r="CD76" s="22"/>
      <c r="CE76" s="47"/>
      <c r="CG76" s="22"/>
      <c r="CI76" s="8"/>
      <c r="CJ76" s="22"/>
      <c r="CK76" s="47"/>
      <c r="DM76" s="44">
        <f t="shared" si="283"/>
        <v>70</v>
      </c>
      <c r="DN76" s="41">
        <f t="shared" si="257"/>
        <v>12307520</v>
      </c>
      <c r="DO76" s="41">
        <f t="shared" si="284"/>
        <v>124541.17521367522</v>
      </c>
      <c r="DP76" s="42">
        <f t="shared" si="258"/>
        <v>0</v>
      </c>
      <c r="DQ76" s="42">
        <f t="shared" si="259"/>
        <v>0</v>
      </c>
      <c r="DR76" s="42">
        <f t="shared" si="260"/>
        <v>0</v>
      </c>
      <c r="DS76" s="42">
        <f t="shared" si="261"/>
        <v>0</v>
      </c>
      <c r="DT76" s="42">
        <f t="shared" si="262"/>
        <v>0</v>
      </c>
      <c r="DU76" s="42">
        <f t="shared" si="263"/>
        <v>0</v>
      </c>
      <c r="DV76" s="42">
        <f t="shared" si="264"/>
        <v>0</v>
      </c>
      <c r="DW76" s="42">
        <f t="shared" si="265"/>
        <v>0</v>
      </c>
      <c r="DX76" s="42">
        <f t="shared" si="266"/>
        <v>7808582.2649572641</v>
      </c>
      <c r="DY76" s="42">
        <f>IF(DM76="",DY75,DN76-SUM($DO$6:DO76)+SUM($DP$6:DV76)-SUM($DW$6:DW76))</f>
        <v>4498937.7350427359</v>
      </c>
      <c r="DZ76" s="43">
        <f t="shared" si="285"/>
        <v>0.36554380858554247</v>
      </c>
      <c r="EA76" s="43"/>
      <c r="EB76" s="43" t="str">
        <f t="shared" si="295"/>
        <v>False</v>
      </c>
      <c r="EC76" s="41">
        <f t="shared" si="286"/>
        <v>220400</v>
      </c>
      <c r="ED76" s="41">
        <f t="shared" si="287"/>
        <v>606690</v>
      </c>
      <c r="EE76" s="41">
        <f t="shared" si="267"/>
        <v>902280</v>
      </c>
      <c r="EF76" s="41">
        <f t="shared" si="288"/>
        <v>12244.444444444445</v>
      </c>
      <c r="EG76" s="42">
        <f t="shared" si="289"/>
        <v>8426.25</v>
      </c>
      <c r="EH76" s="42">
        <f t="shared" si="290"/>
        <v>6265.8333333333321</v>
      </c>
      <c r="EI76" s="42">
        <f t="shared" si="268"/>
        <v>195911</v>
      </c>
      <c r="EJ76" s="42">
        <f t="shared" si="269"/>
        <v>589838</v>
      </c>
      <c r="EK76" s="42">
        <f t="shared" si="270"/>
        <v>438608</v>
      </c>
      <c r="EL76" s="42">
        <f>IF(DM76="","",EC76-SUM($EF$6:EF76)+SUM($DP$6:DP76))</f>
        <v>24488.888888888177</v>
      </c>
      <c r="EM76" s="42">
        <f>IF(DM76="","",ED76-SUM($EG$6:EG76)+SUM($DQ$6:DQ76))</f>
        <v>16852.5</v>
      </c>
      <c r="EN76" s="42">
        <f>IF(DM76="","",EE76-SUM($EH$6:EH76)+SUM($DR$6:DR76))</f>
        <v>463671.66666666709</v>
      </c>
      <c r="EO76" s="152">
        <f t="shared" si="271"/>
        <v>0.29202140406943294</v>
      </c>
      <c r="EP76" s="43"/>
      <c r="EQ76" s="42">
        <f t="shared" si="272"/>
        <v>448050</v>
      </c>
      <c r="ER76" s="42">
        <f t="shared" si="273"/>
        <v>248100</v>
      </c>
      <c r="ES76" s="42">
        <f t="shared" si="291"/>
        <v>3733.75</v>
      </c>
      <c r="ET76" s="42">
        <f t="shared" si="292"/>
        <v>6122.9807692307695</v>
      </c>
      <c r="EU76" s="42">
        <f t="shared" si="274"/>
        <v>261363</v>
      </c>
      <c r="EV76" s="42">
        <f t="shared" si="275"/>
        <v>180509</v>
      </c>
      <c r="EW76" s="42">
        <f>IF(DM76="","",IF(DS76&gt;0,DS76,EQ76-SUM($ES$6:ES76)+SUM($DS$6:DS76)))</f>
        <v>186687.5</v>
      </c>
      <c r="EX76" s="42">
        <f>IF(DM76="","",IF(DT76&gt;0,DT76,ER76-SUM($ET$6:ET76)+SUM($DT$6:DT76)))</f>
        <v>67591.346153846476</v>
      </c>
      <c r="EY76" s="43">
        <f t="shared" si="276"/>
        <v>0.27243589743589874</v>
      </c>
      <c r="EZ76" s="43">
        <f t="shared" si="277"/>
        <v>0.41666666666666669</v>
      </c>
      <c r="FA76" s="43"/>
      <c r="FB76" s="42">
        <f t="shared" si="278"/>
        <v>4700000</v>
      </c>
      <c r="FC76" s="42">
        <f t="shared" si="279"/>
        <v>5182000</v>
      </c>
      <c r="FD76" s="41">
        <f t="shared" si="293"/>
        <v>54833.333333333336</v>
      </c>
      <c r="FE76" s="41">
        <f t="shared" si="294"/>
        <v>32914.583333333336</v>
      </c>
      <c r="FF76" s="42">
        <f t="shared" si="280"/>
        <v>3838333</v>
      </c>
      <c r="FG76" s="42">
        <f t="shared" si="281"/>
        <v>2304021</v>
      </c>
      <c r="FH76" s="42">
        <f>IF(DM76="","",IF(DU76&gt;0,DU76,FB76-SUM($FD$6:FD76)+SUM($DU$6:DU76)))</f>
        <v>861666.66666666279</v>
      </c>
      <c r="FI76" s="42">
        <f>IF(DM76="","",FC76-SUM($FE$6:FE76)+SUM($DV$6:DV76)-SUM($DW$6:DW76))</f>
        <v>2877979.1666666674</v>
      </c>
      <c r="FJ76" s="152">
        <f t="shared" si="282"/>
        <v>0.37843005801794477</v>
      </c>
      <c r="FN76" s="8"/>
      <c r="FO76" s="8"/>
      <c r="FP76" s="8"/>
      <c r="FQ76" s="8"/>
      <c r="FR76" s="8"/>
      <c r="FS76" s="8"/>
      <c r="FT76" s="8"/>
      <c r="FU76" s="8"/>
      <c r="GC76" s="68">
        <f t="shared" si="246"/>
        <v>71</v>
      </c>
      <c r="GD76" s="78">
        <f t="shared" si="247"/>
        <v>0</v>
      </c>
      <c r="GE76" s="309">
        <f t="shared" si="248"/>
        <v>0.35542469643186114</v>
      </c>
      <c r="GF76" s="78">
        <f t="shared" si="249"/>
        <v>0</v>
      </c>
      <c r="GG76" s="310">
        <f t="shared" si="250"/>
        <v>0.27644548464341201</v>
      </c>
      <c r="GH76" s="78">
        <f t="shared" si="251"/>
        <v>0</v>
      </c>
      <c r="GI76" s="310">
        <f t="shared" si="252"/>
        <v>0.40833333333333333</v>
      </c>
      <c r="GJ76" s="311">
        <f t="shared" si="253"/>
        <v>0</v>
      </c>
      <c r="GK76" s="310">
        <f t="shared" si="254"/>
        <v>0.24775641025641162</v>
      </c>
      <c r="GL76" s="311">
        <f t="shared" si="255"/>
        <v>0</v>
      </c>
      <c r="GM76" s="310">
        <f t="shared" si="256"/>
        <v>0.36955048741820112</v>
      </c>
      <c r="HB76" s="22"/>
      <c r="HE76" s="9"/>
    </row>
    <row r="77" spans="1:213" x14ac:dyDescent="0.2">
      <c r="C77" s="426">
        <f t="shared" si="243"/>
        <v>41548</v>
      </c>
      <c r="D77" s="155">
        <f t="shared" si="244"/>
        <v>9</v>
      </c>
      <c r="E77" s="155">
        <f t="shared" si="242"/>
        <v>12272520</v>
      </c>
      <c r="F77" s="155"/>
      <c r="G77" s="438">
        <f t="shared" si="245"/>
        <v>122596.73076923078</v>
      </c>
      <c r="I77" s="444">
        <f>IF(D77="","",'Mx FORECAST'!DX15)</f>
        <v>1103370.5769230761</v>
      </c>
      <c r="J77" s="155">
        <f>IF(D77="","",'Mx FORECAST'!DP15)</f>
        <v>0</v>
      </c>
      <c r="K77" s="155">
        <f>IF(D77="","",'Mx FORECAST'!DQ15)</f>
        <v>0</v>
      </c>
      <c r="M77" s="155">
        <f>IF(D77="","",'Mx FORECAST'!DR15)</f>
        <v>0</v>
      </c>
      <c r="O77" s="155">
        <f>IF(D77="","",'Mx FORECAST'!DS15)</f>
        <v>0</v>
      </c>
      <c r="Q77" s="155">
        <f>IF(D77="","",'Mx FORECAST'!DT15)</f>
        <v>0</v>
      </c>
      <c r="S77" s="155">
        <f>IF(D77="","",'Mx FORECAST'!DU15)</f>
        <v>0</v>
      </c>
      <c r="U77" s="155">
        <f>IF(D77="","",'Mx FORECAST'!DV15)</f>
        <v>0</v>
      </c>
      <c r="W77" s="540">
        <f>IF(D77="","",'Mx FORECAST'!DY15)</f>
        <v>11169149.423076924</v>
      </c>
      <c r="X77" s="540"/>
      <c r="Y77" s="437">
        <f>IF(D77="","",'Mx FORECAST'!DZ15)</f>
        <v>0.91009421236037291</v>
      </c>
      <c r="AD77" s="155"/>
      <c r="AF77" s="155"/>
      <c r="AH77" s="155"/>
      <c r="AJ77" s="155"/>
      <c r="AK77" s="8"/>
      <c r="AL77" s="8"/>
      <c r="AM77" s="8"/>
      <c r="AN77" s="8"/>
      <c r="AO77" s="8"/>
      <c r="AP77" s="8"/>
      <c r="AQ77" s="7"/>
      <c r="AR77" s="7"/>
      <c r="AS77" s="7"/>
      <c r="AT77" s="7"/>
      <c r="AU77" s="7"/>
      <c r="AV77" s="7"/>
      <c r="AW77" s="7"/>
      <c r="AX77" s="7"/>
      <c r="AY77" s="7"/>
      <c r="AZ77" s="8"/>
      <c r="BZ77" s="9"/>
      <c r="CA77" s="9"/>
      <c r="CB77" s="9"/>
      <c r="CL77" s="8"/>
      <c r="CM77" s="8"/>
      <c r="CN77" s="8"/>
      <c r="CO77" s="8"/>
      <c r="CP77" s="8"/>
      <c r="CQ77" s="8"/>
      <c r="CR77" s="8"/>
      <c r="CS77" s="8"/>
      <c r="CT77" s="8"/>
      <c r="CU77" s="8"/>
      <c r="CV77" s="8"/>
      <c r="CW77" s="8"/>
      <c r="CX77" s="8"/>
      <c r="CY77" s="8"/>
      <c r="CZ77" s="8"/>
      <c r="DA77" s="8"/>
      <c r="DM77" s="44">
        <f t="shared" si="283"/>
        <v>71</v>
      </c>
      <c r="DN77" s="41">
        <f t="shared" si="257"/>
        <v>12307520</v>
      </c>
      <c r="DO77" s="41">
        <f t="shared" si="284"/>
        <v>124541.17521367522</v>
      </c>
      <c r="DP77" s="42">
        <f t="shared" si="258"/>
        <v>0</v>
      </c>
      <c r="DQ77" s="42">
        <f t="shared" si="259"/>
        <v>0</v>
      </c>
      <c r="DR77" s="42">
        <f t="shared" si="260"/>
        <v>0</v>
      </c>
      <c r="DS77" s="42">
        <f t="shared" si="261"/>
        <v>0</v>
      </c>
      <c r="DT77" s="42">
        <f t="shared" si="262"/>
        <v>0</v>
      </c>
      <c r="DU77" s="42">
        <f t="shared" si="263"/>
        <v>0</v>
      </c>
      <c r="DV77" s="42">
        <f t="shared" si="264"/>
        <v>0</v>
      </c>
      <c r="DW77" s="42">
        <f t="shared" si="265"/>
        <v>0</v>
      </c>
      <c r="DX77" s="42">
        <f t="shared" si="266"/>
        <v>7933123.44017094</v>
      </c>
      <c r="DY77" s="42">
        <f>IF(DM77="",DY76,DN77-SUM($DO$6:DO77)+SUM($DP$6:DV77)-SUM($DW$6:DW77))</f>
        <v>4374396.55982906</v>
      </c>
      <c r="DZ77" s="43">
        <f t="shared" si="285"/>
        <v>0.35542469643186114</v>
      </c>
      <c r="EA77" s="43"/>
      <c r="EB77" s="43" t="str">
        <f t="shared" si="295"/>
        <v>False</v>
      </c>
      <c r="EC77" s="41">
        <f t="shared" si="286"/>
        <v>220400</v>
      </c>
      <c r="ED77" s="41">
        <f t="shared" si="287"/>
        <v>606690</v>
      </c>
      <c r="EE77" s="41">
        <f t="shared" si="267"/>
        <v>902280</v>
      </c>
      <c r="EF77" s="41">
        <f t="shared" si="288"/>
        <v>12244.444444444445</v>
      </c>
      <c r="EG77" s="42">
        <f t="shared" si="289"/>
        <v>8426.25</v>
      </c>
      <c r="EH77" s="42">
        <f t="shared" si="290"/>
        <v>6265.8333333333321</v>
      </c>
      <c r="EI77" s="42">
        <f t="shared" si="268"/>
        <v>208156</v>
      </c>
      <c r="EJ77" s="42">
        <f t="shared" si="269"/>
        <v>598264</v>
      </c>
      <c r="EK77" s="42">
        <f t="shared" si="270"/>
        <v>444874</v>
      </c>
      <c r="EL77" s="42">
        <f>IF(DM77="","",EC77-SUM($EF$6:EF77)+SUM($DP$6:DP77))</f>
        <v>12244.444444443681</v>
      </c>
      <c r="EM77" s="42">
        <f>IF(DM77="","",ED77-SUM($EG$6:EG77)+SUM($DQ$6:DQ77))</f>
        <v>8426.25</v>
      </c>
      <c r="EN77" s="42">
        <f>IF(DM77="","",EE77-SUM($EH$6:EH77)+SUM($DR$6:DR77))</f>
        <v>457405.83333333378</v>
      </c>
      <c r="EO77" s="152">
        <f t="shared" si="271"/>
        <v>0.27644548464341201</v>
      </c>
      <c r="EP77" s="43"/>
      <c r="EQ77" s="42">
        <f t="shared" si="272"/>
        <v>448050</v>
      </c>
      <c r="ER77" s="42">
        <f t="shared" si="273"/>
        <v>248100</v>
      </c>
      <c r="ES77" s="42">
        <f t="shared" si="291"/>
        <v>3733.75</v>
      </c>
      <c r="ET77" s="42">
        <f t="shared" si="292"/>
        <v>6122.9807692307695</v>
      </c>
      <c r="EU77" s="42">
        <f t="shared" si="274"/>
        <v>265096</v>
      </c>
      <c r="EV77" s="42">
        <f t="shared" si="275"/>
        <v>186632</v>
      </c>
      <c r="EW77" s="42">
        <f>IF(DM77="","",IF(DS77&gt;0,DS77,EQ77-SUM($ES$6:ES77)+SUM($DS$6:DS77)))</f>
        <v>182953.75</v>
      </c>
      <c r="EX77" s="42">
        <f>IF(DM77="","",IF(DT77&gt;0,DT77,ER77-SUM($ET$6:ET77)+SUM($DT$6:DT77)))</f>
        <v>61468.365384615725</v>
      </c>
      <c r="EY77" s="43">
        <f t="shared" si="276"/>
        <v>0.24775641025641162</v>
      </c>
      <c r="EZ77" s="43">
        <f t="shared" si="277"/>
        <v>0.40833333333333333</v>
      </c>
      <c r="FA77" s="43"/>
      <c r="FB77" s="42">
        <f t="shared" si="278"/>
        <v>4700000</v>
      </c>
      <c r="FC77" s="42">
        <f t="shared" si="279"/>
        <v>5182000</v>
      </c>
      <c r="FD77" s="41">
        <f t="shared" si="293"/>
        <v>54833.333333333336</v>
      </c>
      <c r="FE77" s="41">
        <f t="shared" si="294"/>
        <v>32914.583333333336</v>
      </c>
      <c r="FF77" s="42">
        <f t="shared" si="280"/>
        <v>3893167</v>
      </c>
      <c r="FG77" s="42">
        <f t="shared" si="281"/>
        <v>2336935</v>
      </c>
      <c r="FH77" s="42">
        <f>IF(DM77="","",IF(DU77&gt;0,DU77,FB77-SUM($FD$6:FD77)+SUM($DU$6:DU77)))</f>
        <v>806833.3333333293</v>
      </c>
      <c r="FI77" s="42">
        <f>IF(DM77="","",FC77-SUM($FE$6:FE77)+SUM($DV$6:DV77)-SUM($DW$6:DW77))</f>
        <v>2845064.583333334</v>
      </c>
      <c r="FJ77" s="152">
        <f t="shared" si="282"/>
        <v>0.36955048741820112</v>
      </c>
      <c r="FN77" s="8"/>
      <c r="FO77" s="8"/>
      <c r="FP77" s="8"/>
      <c r="FQ77" s="8"/>
      <c r="FR77" s="8"/>
      <c r="FS77" s="8"/>
      <c r="FT77" s="8"/>
      <c r="FU77" s="8"/>
      <c r="GC77" s="68">
        <f t="shared" si="246"/>
        <v>72</v>
      </c>
      <c r="GD77" s="78">
        <f t="shared" si="247"/>
        <v>827090</v>
      </c>
      <c r="GE77" s="309">
        <f t="shared" si="248"/>
        <v>0.41250758760622647</v>
      </c>
      <c r="GF77" s="78">
        <f t="shared" si="249"/>
        <v>827090</v>
      </c>
      <c r="GG77" s="310">
        <f t="shared" si="250"/>
        <v>0.73913043478260843</v>
      </c>
      <c r="GH77" s="78">
        <f t="shared" si="251"/>
        <v>0</v>
      </c>
      <c r="GI77" s="310">
        <f t="shared" si="252"/>
        <v>0.4</v>
      </c>
      <c r="GJ77" s="311">
        <f t="shared" si="253"/>
        <v>0</v>
      </c>
      <c r="GK77" s="310">
        <f t="shared" si="254"/>
        <v>0.22307692307692453</v>
      </c>
      <c r="GL77" s="311">
        <f t="shared" si="255"/>
        <v>0</v>
      </c>
      <c r="GM77" s="310">
        <f t="shared" si="256"/>
        <v>0.36067091681845742</v>
      </c>
      <c r="HB77" s="22"/>
      <c r="HE77" s="9"/>
    </row>
    <row r="78" spans="1:213" x14ac:dyDescent="0.2">
      <c r="C78" s="426">
        <f t="shared" si="243"/>
        <v>41579</v>
      </c>
      <c r="D78" s="155">
        <f t="shared" si="244"/>
        <v>10</v>
      </c>
      <c r="E78" s="155">
        <f t="shared" si="242"/>
        <v>12272520</v>
      </c>
      <c r="F78" s="155"/>
      <c r="G78" s="438">
        <f t="shared" si="245"/>
        <v>122596.73076923078</v>
      </c>
      <c r="I78" s="444">
        <f>IF(D78="","",'Mx FORECAST'!DX16)</f>
        <v>1225967.307692308</v>
      </c>
      <c r="J78" s="155">
        <f>IF(D78="","",'Mx FORECAST'!DP16)</f>
        <v>0</v>
      </c>
      <c r="K78" s="155">
        <f>IF(D78="","",'Mx FORECAST'!DQ16)</f>
        <v>0</v>
      </c>
      <c r="M78" s="155">
        <f>IF(D78="","",'Mx FORECAST'!DR16)</f>
        <v>0</v>
      </c>
      <c r="O78" s="155">
        <f>IF(D78="","",'Mx FORECAST'!DS16)</f>
        <v>0</v>
      </c>
      <c r="Q78" s="155">
        <f>IF(D78="","",'Mx FORECAST'!DT16)</f>
        <v>0</v>
      </c>
      <c r="S78" s="155">
        <f>IF(D78="","",'Mx FORECAST'!DU16)</f>
        <v>0</v>
      </c>
      <c r="U78" s="155">
        <f>IF(D78="","",'Mx FORECAST'!DV16)</f>
        <v>0</v>
      </c>
      <c r="W78" s="540">
        <f>IF(D78="","",'Mx FORECAST'!DY16)</f>
        <v>11046552.692307692</v>
      </c>
      <c r="X78" s="540"/>
      <c r="Y78" s="437">
        <f>IF(D78="","",'Mx FORECAST'!DZ16)</f>
        <v>0.90010468040041425</v>
      </c>
      <c r="AD78" s="155"/>
      <c r="AF78" s="155"/>
      <c r="AH78" s="155"/>
      <c r="AJ78" s="155"/>
      <c r="AK78" s="8"/>
      <c r="AL78" s="8"/>
      <c r="AM78" s="8"/>
      <c r="AN78" s="8"/>
      <c r="AO78" s="8"/>
      <c r="AP78" s="8"/>
      <c r="AQ78" s="7"/>
      <c r="AR78" s="7"/>
      <c r="AS78" s="7"/>
      <c r="AT78" s="7"/>
      <c r="AU78" s="7"/>
      <c r="AV78" s="7"/>
      <c r="AW78" s="7"/>
      <c r="AX78" s="7"/>
      <c r="AY78" s="7"/>
      <c r="AZ78" s="8"/>
      <c r="BZ78" s="9"/>
      <c r="CA78" s="9"/>
      <c r="CB78" s="9"/>
      <c r="DM78" s="44">
        <f t="shared" si="283"/>
        <v>72</v>
      </c>
      <c r="DN78" s="41">
        <f t="shared" si="257"/>
        <v>12307520</v>
      </c>
      <c r="DO78" s="41">
        <f t="shared" si="284"/>
        <v>124541.17521367522</v>
      </c>
      <c r="DP78" s="42">
        <f t="shared" si="258"/>
        <v>220400</v>
      </c>
      <c r="DQ78" s="42">
        <f t="shared" si="259"/>
        <v>606690</v>
      </c>
      <c r="DR78" s="42">
        <f t="shared" si="260"/>
        <v>0</v>
      </c>
      <c r="DS78" s="42">
        <f t="shared" si="261"/>
        <v>0</v>
      </c>
      <c r="DT78" s="42">
        <f t="shared" si="262"/>
        <v>0</v>
      </c>
      <c r="DU78" s="42">
        <f t="shared" si="263"/>
        <v>0</v>
      </c>
      <c r="DV78" s="42">
        <f t="shared" si="264"/>
        <v>0</v>
      </c>
      <c r="DW78" s="42">
        <f t="shared" si="265"/>
        <v>0</v>
      </c>
      <c r="DX78" s="42">
        <f t="shared" si="266"/>
        <v>7230574.615384616</v>
      </c>
      <c r="DY78" s="42">
        <f>IF(DM78="",DY77,DN78-SUM($DO$6:DO78)+SUM($DP$6:DV78)-SUM($DW$6:DW78))</f>
        <v>5076945.384615384</v>
      </c>
      <c r="DZ78" s="43">
        <f t="shared" si="285"/>
        <v>0.41250758760622647</v>
      </c>
      <c r="EA78" s="43"/>
      <c r="EB78" s="43" t="str">
        <f t="shared" si="295"/>
        <v>False</v>
      </c>
      <c r="EC78" s="41">
        <f t="shared" si="286"/>
        <v>220400</v>
      </c>
      <c r="ED78" s="41">
        <f t="shared" si="287"/>
        <v>606690</v>
      </c>
      <c r="EE78" s="41">
        <f t="shared" si="267"/>
        <v>902280</v>
      </c>
      <c r="EF78" s="41">
        <f t="shared" si="288"/>
        <v>12244.444444444445</v>
      </c>
      <c r="EG78" s="42">
        <f t="shared" si="289"/>
        <v>8426.25</v>
      </c>
      <c r="EH78" s="42">
        <f t="shared" si="290"/>
        <v>6265.8333333333321</v>
      </c>
      <c r="EI78" s="42">
        <f t="shared" si="268"/>
        <v>0</v>
      </c>
      <c r="EJ78" s="42">
        <f t="shared" si="269"/>
        <v>0</v>
      </c>
      <c r="EK78" s="42">
        <f t="shared" si="270"/>
        <v>451140</v>
      </c>
      <c r="EL78" s="42">
        <f>IF(DM78="","",EC78-SUM($EF$6:EF78)+SUM($DP$6:DP78))</f>
        <v>220399.99999999919</v>
      </c>
      <c r="EM78" s="42">
        <f>IF(DM78="","",ED78-SUM($EG$6:EG78)+SUM($DQ$6:DQ78))</f>
        <v>606690</v>
      </c>
      <c r="EN78" s="42">
        <f>IF(DM78="","",EE78-SUM($EH$6:EH78)+SUM($DR$6:DR78))</f>
        <v>451140.00000000047</v>
      </c>
      <c r="EO78" s="152">
        <f t="shared" si="271"/>
        <v>0.73913043478260843</v>
      </c>
      <c r="EP78" s="43"/>
      <c r="EQ78" s="42">
        <f t="shared" si="272"/>
        <v>448050</v>
      </c>
      <c r="ER78" s="42">
        <f t="shared" si="273"/>
        <v>248100</v>
      </c>
      <c r="ES78" s="42">
        <f t="shared" si="291"/>
        <v>3733.75</v>
      </c>
      <c r="ET78" s="42">
        <f t="shared" si="292"/>
        <v>6122.9807692307695</v>
      </c>
      <c r="EU78" s="42">
        <f t="shared" si="274"/>
        <v>268830</v>
      </c>
      <c r="EV78" s="42">
        <f t="shared" si="275"/>
        <v>192755</v>
      </c>
      <c r="EW78" s="42">
        <f>IF(DM78="","",IF(DS78&gt;0,DS78,EQ78-SUM($ES$6:ES78)+SUM($DS$6:DS78)))</f>
        <v>179220</v>
      </c>
      <c r="EX78" s="42">
        <f>IF(DM78="","",IF(DT78&gt;0,DT78,ER78-SUM($ET$6:ET78)+SUM($DT$6:DT78)))</f>
        <v>55345.384615384974</v>
      </c>
      <c r="EY78" s="43">
        <f t="shared" si="276"/>
        <v>0.22307692307692453</v>
      </c>
      <c r="EZ78" s="43">
        <f t="shared" si="277"/>
        <v>0.4</v>
      </c>
      <c r="FA78" s="43"/>
      <c r="FB78" s="42">
        <f t="shared" si="278"/>
        <v>4700000</v>
      </c>
      <c r="FC78" s="42">
        <f t="shared" si="279"/>
        <v>5182000</v>
      </c>
      <c r="FD78" s="41">
        <f t="shared" si="293"/>
        <v>54833.333333333336</v>
      </c>
      <c r="FE78" s="41">
        <f t="shared" si="294"/>
        <v>32914.583333333336</v>
      </c>
      <c r="FF78" s="42">
        <f t="shared" si="280"/>
        <v>3948000</v>
      </c>
      <c r="FG78" s="42">
        <f t="shared" si="281"/>
        <v>2369850</v>
      </c>
      <c r="FH78" s="42">
        <f>IF(DM78="","",IF(DU78&gt;0,DU78,FB78-SUM($FD$6:FD78)+SUM($DU$6:DU78)))</f>
        <v>751999.99999999581</v>
      </c>
      <c r="FI78" s="42">
        <f>IF(DM78="","",FC78-SUM($FE$6:FE78)+SUM($DV$6:DV78)-SUM($DW$6:DW78))</f>
        <v>2812150.0000000005</v>
      </c>
      <c r="FJ78" s="152">
        <f t="shared" si="282"/>
        <v>0.36067091681845742</v>
      </c>
      <c r="FN78" s="8"/>
      <c r="FO78" s="8"/>
      <c r="FP78" s="8"/>
      <c r="FQ78" s="8"/>
      <c r="FR78" s="8"/>
      <c r="FS78" s="8"/>
      <c r="FT78" s="8"/>
      <c r="FU78" s="8"/>
      <c r="GC78" s="68">
        <f t="shared" si="246"/>
        <v>73</v>
      </c>
      <c r="GD78" s="78">
        <f t="shared" si="247"/>
        <v>0</v>
      </c>
      <c r="GE78" s="309">
        <f t="shared" si="248"/>
        <v>0.40624781873431887</v>
      </c>
      <c r="GF78" s="78">
        <f t="shared" si="249"/>
        <v>0</v>
      </c>
      <c r="GG78" s="310">
        <f t="shared" si="250"/>
        <v>0.73540129114440123</v>
      </c>
      <c r="GH78" s="78">
        <f t="shared" si="251"/>
        <v>0</v>
      </c>
      <c r="GI78" s="310">
        <f t="shared" si="252"/>
        <v>0.39166666666666666</v>
      </c>
      <c r="GJ78" s="311">
        <f t="shared" si="253"/>
        <v>0</v>
      </c>
      <c r="GK78" s="310">
        <f t="shared" si="254"/>
        <v>0.19839743589743741</v>
      </c>
      <c r="GL78" s="311">
        <f t="shared" si="255"/>
        <v>0</v>
      </c>
      <c r="GM78" s="310">
        <f t="shared" si="256"/>
        <v>0.35179134621871377</v>
      </c>
      <c r="HB78" s="22"/>
      <c r="HE78" s="9"/>
    </row>
    <row r="79" spans="1:213" x14ac:dyDescent="0.2">
      <c r="C79" s="426">
        <f t="shared" si="243"/>
        <v>41609</v>
      </c>
      <c r="D79" s="155">
        <f t="shared" si="244"/>
        <v>11</v>
      </c>
      <c r="E79" s="155">
        <f t="shared" si="242"/>
        <v>12272520</v>
      </c>
      <c r="F79" s="155"/>
      <c r="G79" s="438">
        <f t="shared" si="245"/>
        <v>122596.73076923078</v>
      </c>
      <c r="I79" s="444">
        <f>IF(D79="","",'Mx FORECAST'!DX17)</f>
        <v>1348564.038461538</v>
      </c>
      <c r="J79" s="155">
        <f>IF(D79="","",'Mx FORECAST'!DP17)</f>
        <v>0</v>
      </c>
      <c r="K79" s="155">
        <f>IF(D79="","",'Mx FORECAST'!DQ17)</f>
        <v>0</v>
      </c>
      <c r="M79" s="155">
        <f>IF(D79="","",'Mx FORECAST'!DR17)</f>
        <v>0</v>
      </c>
      <c r="O79" s="155">
        <f>IF(D79="","",'Mx FORECAST'!DS17)</f>
        <v>0</v>
      </c>
      <c r="Q79" s="155">
        <f>IF(D79="","",'Mx FORECAST'!DT17)</f>
        <v>0</v>
      </c>
      <c r="S79" s="155">
        <f>IF(D79="","",'Mx FORECAST'!DU17)</f>
        <v>0</v>
      </c>
      <c r="U79" s="155">
        <f>IF(D79="","",'Mx FORECAST'!DV17)</f>
        <v>0</v>
      </c>
      <c r="W79" s="540">
        <f>IF(D79="","",'Mx FORECAST'!DY17)</f>
        <v>10923955.961538462</v>
      </c>
      <c r="X79" s="540"/>
      <c r="Y79" s="437">
        <f>IF(D79="","",'Mx FORECAST'!DZ17)</f>
        <v>0.89011514844045569</v>
      </c>
      <c r="AD79" s="155"/>
      <c r="AF79" s="155"/>
      <c r="AH79" s="155"/>
      <c r="AJ79" s="155"/>
      <c r="AK79" s="8"/>
      <c r="AL79" s="8"/>
      <c r="AM79" s="8"/>
      <c r="AN79" s="8"/>
      <c r="AO79" s="8"/>
      <c r="AP79" s="8"/>
      <c r="AQ79" s="7"/>
      <c r="AR79" s="7"/>
      <c r="AS79" s="7"/>
      <c r="AT79" s="7"/>
      <c r="AU79" s="7"/>
      <c r="AV79" s="7"/>
      <c r="AW79" s="7"/>
      <c r="AX79" s="7"/>
      <c r="AY79" s="7"/>
      <c r="AZ79" s="8"/>
      <c r="BZ79" s="9"/>
      <c r="CA79" s="9"/>
      <c r="CB79" s="9"/>
      <c r="DM79" s="44">
        <f t="shared" si="283"/>
        <v>73</v>
      </c>
      <c r="DN79" s="41">
        <f t="shared" si="257"/>
        <v>12389583.5</v>
      </c>
      <c r="DO79" s="41">
        <f t="shared" si="284"/>
        <v>125767.61271367522</v>
      </c>
      <c r="DP79" s="42">
        <f t="shared" si="258"/>
        <v>0</v>
      </c>
      <c r="DQ79" s="42">
        <f t="shared" si="259"/>
        <v>0</v>
      </c>
      <c r="DR79" s="42">
        <f t="shared" si="260"/>
        <v>0</v>
      </c>
      <c r="DS79" s="42">
        <f t="shared" si="261"/>
        <v>0</v>
      </c>
      <c r="DT79" s="42">
        <f t="shared" si="262"/>
        <v>0</v>
      </c>
      <c r="DU79" s="42">
        <f t="shared" si="263"/>
        <v>0</v>
      </c>
      <c r="DV79" s="42">
        <f t="shared" si="264"/>
        <v>0</v>
      </c>
      <c r="DW79" s="42">
        <f t="shared" si="265"/>
        <v>0</v>
      </c>
      <c r="DX79" s="42">
        <f t="shared" si="266"/>
        <v>7356342.2280982919</v>
      </c>
      <c r="DY79" s="42">
        <f>IF(DM79="",DY78,DN79-SUM($DO$6:DO79)+SUM($DP$6:DV79)-SUM($DW$6:DW79))</f>
        <v>5033241.2719017081</v>
      </c>
      <c r="DZ79" s="43">
        <f t="shared" si="285"/>
        <v>0.40624781873431887</v>
      </c>
      <c r="EA79" s="43"/>
      <c r="EB79" s="43" t="str">
        <f t="shared" si="295"/>
        <v>True</v>
      </c>
      <c r="EC79" s="41">
        <f t="shared" si="286"/>
        <v>222480</v>
      </c>
      <c r="ED79" s="41">
        <f>IF(DM79="","",IF(DM79&lt;=$DI$8,$DF$8,$DF$19))</f>
        <v>686673.49999999988</v>
      </c>
      <c r="EE79" s="41">
        <f t="shared" si="267"/>
        <v>902280</v>
      </c>
      <c r="EF79" s="41">
        <f t="shared" si="288"/>
        <v>12360</v>
      </c>
      <c r="EG79" s="42">
        <f t="shared" si="289"/>
        <v>9537.1319444444434</v>
      </c>
      <c r="EH79" s="42">
        <f t="shared" si="290"/>
        <v>6265.8333333333321</v>
      </c>
      <c r="EI79" s="42">
        <f t="shared" si="268"/>
        <v>12360</v>
      </c>
      <c r="EJ79" s="42">
        <f t="shared" si="269"/>
        <v>9537</v>
      </c>
      <c r="EK79" s="42">
        <f t="shared" si="270"/>
        <v>457406</v>
      </c>
      <c r="EL79" s="42">
        <f>IF(DM79="","",EC79-SUM($EF$6:EF79)+SUM($DP$6:DP79))</f>
        <v>210119.99999999919</v>
      </c>
      <c r="EM79" s="42">
        <f>IF(DM79="","",ED79-SUM($EG$6:EG79)+SUM($DQ$6:DQ79))</f>
        <v>677136.36805555539</v>
      </c>
      <c r="EN79" s="42">
        <f>IF(DM79="","",EE79-SUM($EH$6:EH79)+SUM($DR$6:DR79))</f>
        <v>444874.16666666715</v>
      </c>
      <c r="EO79" s="152">
        <f t="shared" si="271"/>
        <v>0.73540129114440123</v>
      </c>
      <c r="EP79" s="43"/>
      <c r="EQ79" s="42">
        <f t="shared" si="272"/>
        <v>448050</v>
      </c>
      <c r="ER79" s="42">
        <f t="shared" si="273"/>
        <v>248100</v>
      </c>
      <c r="ES79" s="42">
        <f t="shared" si="291"/>
        <v>3733.75</v>
      </c>
      <c r="ET79" s="42">
        <f t="shared" si="292"/>
        <v>6122.9807692307695</v>
      </c>
      <c r="EU79" s="42">
        <f t="shared" si="274"/>
        <v>272564</v>
      </c>
      <c r="EV79" s="42">
        <f t="shared" si="275"/>
        <v>198878</v>
      </c>
      <c r="EW79" s="42">
        <f>IF(DM79="","",IF(DS79&gt;0,DS79,EQ79-SUM($ES$6:ES79)+SUM($DS$6:DS79)))</f>
        <v>175486.25</v>
      </c>
      <c r="EX79" s="42">
        <f>IF(DM79="","",IF(DT79&gt;0,DT79,ER79-SUM($ET$6:ET79)+SUM($DT$6:DT79)))</f>
        <v>49222.403846154222</v>
      </c>
      <c r="EY79" s="43">
        <f t="shared" si="276"/>
        <v>0.19839743589743741</v>
      </c>
      <c r="EZ79" s="43">
        <f t="shared" si="277"/>
        <v>0.39166666666666666</v>
      </c>
      <c r="FA79" s="43"/>
      <c r="FB79" s="42">
        <f t="shared" si="278"/>
        <v>4700000</v>
      </c>
      <c r="FC79" s="42">
        <f t="shared" si="279"/>
        <v>5182000</v>
      </c>
      <c r="FD79" s="41">
        <f t="shared" si="293"/>
        <v>54833.333333333336</v>
      </c>
      <c r="FE79" s="41">
        <f t="shared" si="294"/>
        <v>32914.583333333336</v>
      </c>
      <c r="FF79" s="42">
        <f t="shared" si="280"/>
        <v>4002833</v>
      </c>
      <c r="FG79" s="42">
        <f t="shared" si="281"/>
        <v>2402765</v>
      </c>
      <c r="FH79" s="42">
        <f>IF(DM79="","",IF(DU79&gt;0,DU79,FB79-SUM($FD$6:FD79)+SUM($DU$6:DU79)))</f>
        <v>697166.66666666232</v>
      </c>
      <c r="FI79" s="42">
        <f>IF(DM79="","",FC79-SUM($FE$6:FE79)+SUM($DV$6:DV79)-SUM($DW$6:DW79))</f>
        <v>2779235.416666667</v>
      </c>
      <c r="FJ79" s="152">
        <f t="shared" si="282"/>
        <v>0.35179134621871377</v>
      </c>
      <c r="FN79" s="8"/>
      <c r="FO79" s="8"/>
      <c r="FP79" s="8"/>
      <c r="FQ79" s="8"/>
      <c r="FR79" s="8"/>
      <c r="FS79" s="8"/>
      <c r="FT79" s="8"/>
      <c r="FU79" s="8"/>
      <c r="GC79" s="68">
        <f t="shared" si="246"/>
        <v>74</v>
      </c>
      <c r="GD79" s="78">
        <f t="shared" si="247"/>
        <v>0</v>
      </c>
      <c r="GE79" s="309">
        <f t="shared" si="248"/>
        <v>0.39609674200815809</v>
      </c>
      <c r="GF79" s="78">
        <f t="shared" si="249"/>
        <v>0</v>
      </c>
      <c r="GG79" s="310">
        <f t="shared" si="250"/>
        <v>0.71985395513798545</v>
      </c>
      <c r="GH79" s="78">
        <f t="shared" si="251"/>
        <v>0</v>
      </c>
      <c r="GI79" s="310">
        <f t="shared" si="252"/>
        <v>0.38333333333333336</v>
      </c>
      <c r="GJ79" s="311">
        <f t="shared" si="253"/>
        <v>0</v>
      </c>
      <c r="GK79" s="310">
        <f t="shared" si="254"/>
        <v>0.17371794871795029</v>
      </c>
      <c r="GL79" s="311">
        <f t="shared" si="255"/>
        <v>0</v>
      </c>
      <c r="GM79" s="310">
        <f t="shared" si="256"/>
        <v>0.34291177561897007</v>
      </c>
      <c r="HB79" s="22"/>
      <c r="HE79" s="9"/>
    </row>
    <row r="80" spans="1:213" x14ac:dyDescent="0.2">
      <c r="C80" s="426">
        <f t="shared" si="243"/>
        <v>41640</v>
      </c>
      <c r="D80" s="155">
        <f t="shared" si="244"/>
        <v>12</v>
      </c>
      <c r="E80" s="155">
        <f t="shared" si="242"/>
        <v>12272520</v>
      </c>
      <c r="F80" s="155"/>
      <c r="G80" s="438">
        <f t="shared" si="245"/>
        <v>122596.73076923078</v>
      </c>
      <c r="I80" s="444">
        <f>IF(D80="","",'Mx FORECAST'!DX18)</f>
        <v>1471160.7692307699</v>
      </c>
      <c r="J80" s="155">
        <f>IF(D80="","",'Mx FORECAST'!DP18)</f>
        <v>0</v>
      </c>
      <c r="K80" s="155">
        <f>IF(D80="","",'Mx FORECAST'!DQ18)</f>
        <v>0</v>
      </c>
      <c r="M80" s="155">
        <f>IF(D80="","",'Mx FORECAST'!DR18)</f>
        <v>0</v>
      </c>
      <c r="O80" s="155">
        <f>IF(D80="","",'Mx FORECAST'!DS18)</f>
        <v>0</v>
      </c>
      <c r="Q80" s="155">
        <f>IF(D80="","",'Mx FORECAST'!DT18)</f>
        <v>0</v>
      </c>
      <c r="S80" s="155">
        <f>IF(D80="","",'Mx FORECAST'!DU18)</f>
        <v>0</v>
      </c>
      <c r="U80" s="155">
        <f>IF(D80="","",'Mx FORECAST'!DV18)</f>
        <v>0</v>
      </c>
      <c r="W80" s="540">
        <f>IF(D80="","",'Mx FORECAST'!DY18)</f>
        <v>10801359.23076923</v>
      </c>
      <c r="X80" s="540"/>
      <c r="Y80" s="437">
        <f>IF(D80="","",'Mx FORECAST'!DZ18)</f>
        <v>0.88012561648049703</v>
      </c>
      <c r="AD80" s="155"/>
      <c r="AF80" s="155"/>
      <c r="AH80" s="155"/>
      <c r="AJ80" s="155"/>
      <c r="AK80" s="8"/>
      <c r="AL80" s="8"/>
      <c r="AM80" s="8"/>
      <c r="AN80" s="8"/>
      <c r="AO80" s="8"/>
      <c r="AP80" s="8"/>
      <c r="AQ80" s="7"/>
      <c r="AR80" s="7"/>
      <c r="AS80" s="7"/>
      <c r="AT80" s="7"/>
      <c r="AU80" s="7"/>
      <c r="AV80" s="7"/>
      <c r="AW80" s="7"/>
      <c r="AX80" s="7"/>
      <c r="AY80" s="7"/>
      <c r="AZ80" s="8"/>
      <c r="BZ80" s="9"/>
      <c r="CA80" s="9"/>
      <c r="CB80" s="9"/>
      <c r="DM80" s="44">
        <f t="shared" si="283"/>
        <v>74</v>
      </c>
      <c r="DN80" s="41">
        <f t="shared" si="257"/>
        <v>12389583.5</v>
      </c>
      <c r="DO80" s="41">
        <f t="shared" si="284"/>
        <v>125767.61271367522</v>
      </c>
      <c r="DP80" s="42">
        <f t="shared" si="258"/>
        <v>0</v>
      </c>
      <c r="DQ80" s="42">
        <f t="shared" si="259"/>
        <v>0</v>
      </c>
      <c r="DR80" s="42">
        <f t="shared" si="260"/>
        <v>0</v>
      </c>
      <c r="DS80" s="42">
        <f t="shared" si="261"/>
        <v>0</v>
      </c>
      <c r="DT80" s="42">
        <f t="shared" si="262"/>
        <v>0</v>
      </c>
      <c r="DU80" s="42">
        <f t="shared" si="263"/>
        <v>0</v>
      </c>
      <c r="DV80" s="42">
        <f t="shared" si="264"/>
        <v>0</v>
      </c>
      <c r="DW80" s="42">
        <f t="shared" si="265"/>
        <v>0</v>
      </c>
      <c r="DX80" s="42">
        <f t="shared" si="266"/>
        <v>7482109.8408119678</v>
      </c>
      <c r="DY80" s="42">
        <f>IF(DM80="",DY79,DN80-SUM($DO$6:DO80)+SUM($DP$6:DV80)-SUM($DW$6:DW80))</f>
        <v>4907473.6591880322</v>
      </c>
      <c r="DZ80" s="43">
        <f t="shared" si="285"/>
        <v>0.39609674200815809</v>
      </c>
      <c r="EA80" s="43"/>
      <c r="EB80" s="43" t="str">
        <f t="shared" si="295"/>
        <v>True</v>
      </c>
      <c r="EC80" s="41">
        <f t="shared" si="286"/>
        <v>222480</v>
      </c>
      <c r="ED80" s="41">
        <f t="shared" si="287"/>
        <v>686673.49999999988</v>
      </c>
      <c r="EE80" s="41">
        <f t="shared" si="267"/>
        <v>902280</v>
      </c>
      <c r="EF80" s="41">
        <f t="shared" si="288"/>
        <v>12360</v>
      </c>
      <c r="EG80" s="42">
        <f t="shared" si="289"/>
        <v>9537.1319444444434</v>
      </c>
      <c r="EH80" s="42">
        <f t="shared" si="290"/>
        <v>6265.8333333333321</v>
      </c>
      <c r="EI80" s="42">
        <f t="shared" si="268"/>
        <v>24720</v>
      </c>
      <c r="EJ80" s="42">
        <f t="shared" si="269"/>
        <v>19074</v>
      </c>
      <c r="EK80" s="42">
        <f t="shared" si="270"/>
        <v>463672</v>
      </c>
      <c r="EL80" s="42">
        <f>IF(DM80="","",EC80-SUM($EF$6:EF80)+SUM($DP$6:DP80))</f>
        <v>197759.99999999919</v>
      </c>
      <c r="EM80" s="42">
        <f>IF(DM80="","",ED80-SUM($EG$6:EG80)+SUM($DQ$6:DQ80))</f>
        <v>667599.23611111089</v>
      </c>
      <c r="EN80" s="42">
        <f>IF(DM80="","",EE80-SUM($EH$6:EH80)+SUM($DR$6:DR80))</f>
        <v>438608.33333333384</v>
      </c>
      <c r="EO80" s="152">
        <f t="shared" si="271"/>
        <v>0.71985395513798545</v>
      </c>
      <c r="EP80" s="43"/>
      <c r="EQ80" s="42">
        <f t="shared" si="272"/>
        <v>448050</v>
      </c>
      <c r="ER80" s="42">
        <f t="shared" si="273"/>
        <v>248100</v>
      </c>
      <c r="ES80" s="42">
        <f t="shared" si="291"/>
        <v>3733.75</v>
      </c>
      <c r="ET80" s="42">
        <f t="shared" si="292"/>
        <v>6122.9807692307695</v>
      </c>
      <c r="EU80" s="42">
        <f t="shared" si="274"/>
        <v>276298</v>
      </c>
      <c r="EV80" s="42">
        <f t="shared" si="275"/>
        <v>205001</v>
      </c>
      <c r="EW80" s="42">
        <f>IF(DM80="","",IF(DS80&gt;0,DS80,EQ80-SUM($ES$6:ES80)+SUM($DS$6:DS80)))</f>
        <v>171752.5</v>
      </c>
      <c r="EX80" s="42">
        <f>IF(DM80="","",IF(DT80&gt;0,DT80,ER80-SUM($ET$6:ET80)+SUM($DT$6:DT80)))</f>
        <v>43099.423076923471</v>
      </c>
      <c r="EY80" s="43">
        <f t="shared" si="276"/>
        <v>0.17371794871795029</v>
      </c>
      <c r="EZ80" s="43">
        <f t="shared" si="277"/>
        <v>0.38333333333333336</v>
      </c>
      <c r="FA80" s="43"/>
      <c r="FB80" s="42">
        <f t="shared" si="278"/>
        <v>4700000</v>
      </c>
      <c r="FC80" s="42">
        <f t="shared" si="279"/>
        <v>5182000</v>
      </c>
      <c r="FD80" s="41">
        <f t="shared" si="293"/>
        <v>54833.333333333336</v>
      </c>
      <c r="FE80" s="41">
        <f t="shared" si="294"/>
        <v>32914.583333333336</v>
      </c>
      <c r="FF80" s="42">
        <f t="shared" si="280"/>
        <v>4057667</v>
      </c>
      <c r="FG80" s="42">
        <f t="shared" si="281"/>
        <v>2435679</v>
      </c>
      <c r="FH80" s="42">
        <f>IF(DM80="","",IF(DU80&gt;0,DU80,FB80-SUM($FD$6:FD80)+SUM($DU$6:DU80)))</f>
        <v>642333.33333332883</v>
      </c>
      <c r="FI80" s="42">
        <f>IF(DM80="","",FC80-SUM($FE$6:FE80)+SUM($DV$6:DV80)-SUM($DW$6:DW80))</f>
        <v>2746320.8333333335</v>
      </c>
      <c r="FJ80" s="152">
        <f t="shared" si="282"/>
        <v>0.34291177561897007</v>
      </c>
      <c r="FN80" s="8"/>
      <c r="FO80" s="8"/>
      <c r="FP80" s="8"/>
      <c r="FQ80" s="8"/>
      <c r="FR80" s="8"/>
      <c r="FS80" s="8"/>
      <c r="FT80" s="8"/>
      <c r="FU80" s="8"/>
      <c r="GC80" s="68">
        <f t="shared" si="246"/>
        <v>75</v>
      </c>
      <c r="GD80" s="78">
        <f t="shared" si="247"/>
        <v>0</v>
      </c>
      <c r="GE80" s="309">
        <f t="shared" si="248"/>
        <v>0.38594566528199725</v>
      </c>
      <c r="GF80" s="78">
        <f t="shared" si="249"/>
        <v>0</v>
      </c>
      <c r="GG80" s="310">
        <f t="shared" si="250"/>
        <v>0.70430661913156956</v>
      </c>
      <c r="GH80" s="78">
        <f t="shared" si="251"/>
        <v>0</v>
      </c>
      <c r="GI80" s="310">
        <f t="shared" si="252"/>
        <v>0.375</v>
      </c>
      <c r="GJ80" s="311">
        <f t="shared" si="253"/>
        <v>0</v>
      </c>
      <c r="GK80" s="310">
        <f t="shared" si="254"/>
        <v>0.1490384615384632</v>
      </c>
      <c r="GL80" s="311">
        <f t="shared" si="255"/>
        <v>0</v>
      </c>
      <c r="GM80" s="310">
        <f t="shared" si="256"/>
        <v>0.33403220501922642</v>
      </c>
      <c r="HB80" s="22"/>
      <c r="HE80" s="9"/>
    </row>
    <row r="81" spans="3:221" x14ac:dyDescent="0.2">
      <c r="C81" s="426">
        <f t="shared" si="243"/>
        <v>41671</v>
      </c>
      <c r="D81" s="155">
        <f t="shared" si="244"/>
        <v>13</v>
      </c>
      <c r="E81" s="155">
        <f t="shared" si="242"/>
        <v>12272520</v>
      </c>
      <c r="F81" s="155"/>
      <c r="G81" s="438">
        <f t="shared" si="245"/>
        <v>122596.73076923078</v>
      </c>
      <c r="I81" s="444">
        <f>IF(D81="","",'Mx FORECAST'!DX19)</f>
        <v>1593757.5</v>
      </c>
      <c r="J81" s="155">
        <f>IF(D81="","",'Mx FORECAST'!DP19)</f>
        <v>0</v>
      </c>
      <c r="K81" s="155">
        <f>IF(D81="","",'Mx FORECAST'!DQ19)</f>
        <v>0</v>
      </c>
      <c r="M81" s="155">
        <f>IF(D81="","",'Mx FORECAST'!DR19)</f>
        <v>0</v>
      </c>
      <c r="O81" s="155">
        <f>IF(D81="","",'Mx FORECAST'!DS19)</f>
        <v>0</v>
      </c>
      <c r="Q81" s="155">
        <f>IF(D81="","",'Mx FORECAST'!DT19)</f>
        <v>0</v>
      </c>
      <c r="S81" s="155">
        <f>IF(D81="","",'Mx FORECAST'!DU19)</f>
        <v>0</v>
      </c>
      <c r="U81" s="155">
        <f>IF(D81="","",'Mx FORECAST'!DV19)</f>
        <v>0</v>
      </c>
      <c r="W81" s="540">
        <f>IF(D81="","",'Mx FORECAST'!DY19)</f>
        <v>10678762.5</v>
      </c>
      <c r="X81" s="540"/>
      <c r="Y81" s="437">
        <f>IF(D81="","",'Mx FORECAST'!DZ19)</f>
        <v>0.87013608452053859</v>
      </c>
      <c r="AD81" s="155"/>
      <c r="AF81" s="155"/>
      <c r="AH81" s="155"/>
      <c r="AJ81" s="155"/>
      <c r="AK81" s="8"/>
      <c r="AL81" s="8"/>
      <c r="AM81" s="8"/>
      <c r="AN81" s="8"/>
      <c r="AO81" s="8"/>
      <c r="AP81" s="8"/>
      <c r="AQ81" s="7"/>
      <c r="AR81" s="7"/>
      <c r="AS81" s="7"/>
      <c r="AT81" s="7"/>
      <c r="AU81" s="7"/>
      <c r="AV81" s="7"/>
      <c r="AW81" s="7"/>
      <c r="AX81" s="7"/>
      <c r="AY81" s="7"/>
      <c r="AZ81" s="8"/>
      <c r="BZ81" s="9"/>
      <c r="CA81" s="9"/>
      <c r="CB81" s="9"/>
      <c r="DM81" s="44">
        <f t="shared" si="283"/>
        <v>75</v>
      </c>
      <c r="DN81" s="41">
        <f t="shared" si="257"/>
        <v>12389583.5</v>
      </c>
      <c r="DO81" s="41">
        <f t="shared" si="284"/>
        <v>125767.61271367522</v>
      </c>
      <c r="DP81" s="42">
        <f t="shared" si="258"/>
        <v>0</v>
      </c>
      <c r="DQ81" s="42">
        <f t="shared" si="259"/>
        <v>0</v>
      </c>
      <c r="DR81" s="42">
        <f t="shared" si="260"/>
        <v>0</v>
      </c>
      <c r="DS81" s="42">
        <f t="shared" si="261"/>
        <v>0</v>
      </c>
      <c r="DT81" s="42">
        <f t="shared" si="262"/>
        <v>0</v>
      </c>
      <c r="DU81" s="42">
        <f t="shared" si="263"/>
        <v>0</v>
      </c>
      <c r="DV81" s="42">
        <f t="shared" si="264"/>
        <v>0</v>
      </c>
      <c r="DW81" s="42">
        <f t="shared" si="265"/>
        <v>0</v>
      </c>
      <c r="DX81" s="42">
        <f t="shared" si="266"/>
        <v>7607877.4535256438</v>
      </c>
      <c r="DY81" s="42">
        <f>IF(DM81="",DY80,DN81-SUM($DO$6:DO81)+SUM($DP$6:DV81)-SUM($DW$6:DW81))</f>
        <v>4781706.0464743562</v>
      </c>
      <c r="DZ81" s="43">
        <f t="shared" si="285"/>
        <v>0.38594566528199725</v>
      </c>
      <c r="EA81" s="43"/>
      <c r="EB81" s="43" t="str">
        <f t="shared" si="295"/>
        <v>True</v>
      </c>
      <c r="EC81" s="41">
        <f t="shared" si="286"/>
        <v>222480</v>
      </c>
      <c r="ED81" s="41">
        <f t="shared" si="287"/>
        <v>686673.49999999988</v>
      </c>
      <c r="EE81" s="41">
        <f t="shared" si="267"/>
        <v>902280</v>
      </c>
      <c r="EF81" s="41">
        <f t="shared" si="288"/>
        <v>12360</v>
      </c>
      <c r="EG81" s="42">
        <f t="shared" si="289"/>
        <v>9537.1319444444434</v>
      </c>
      <c r="EH81" s="42">
        <f t="shared" si="290"/>
        <v>6265.8333333333321</v>
      </c>
      <c r="EI81" s="42">
        <f t="shared" si="268"/>
        <v>37080</v>
      </c>
      <c r="EJ81" s="42">
        <f t="shared" si="269"/>
        <v>28611</v>
      </c>
      <c r="EK81" s="42">
        <f t="shared" si="270"/>
        <v>469937</v>
      </c>
      <c r="EL81" s="42">
        <f>IF(DM81="","",EC81-SUM($EF$6:EF81)+SUM($DP$6:DP81))</f>
        <v>185399.99999999919</v>
      </c>
      <c r="EM81" s="42">
        <f>IF(DM81="","",ED81-SUM($EG$6:EG81)+SUM($DQ$6:DQ81))</f>
        <v>658062.1041666664</v>
      </c>
      <c r="EN81" s="42">
        <f>IF(DM81="","",EE81-SUM($EH$6:EH81)+SUM($DR$6:DR81))</f>
        <v>432342.50000000052</v>
      </c>
      <c r="EO81" s="152">
        <f t="shared" si="271"/>
        <v>0.70430661913156956</v>
      </c>
      <c r="EP81" s="43"/>
      <c r="EQ81" s="42">
        <f t="shared" si="272"/>
        <v>448050</v>
      </c>
      <c r="ER81" s="42">
        <f t="shared" si="273"/>
        <v>248100</v>
      </c>
      <c r="ES81" s="42">
        <f t="shared" si="291"/>
        <v>3733.75</v>
      </c>
      <c r="ET81" s="42">
        <f t="shared" si="292"/>
        <v>6122.9807692307695</v>
      </c>
      <c r="EU81" s="42">
        <f t="shared" si="274"/>
        <v>280031</v>
      </c>
      <c r="EV81" s="42">
        <f t="shared" si="275"/>
        <v>211124</v>
      </c>
      <c r="EW81" s="42">
        <f>IF(DM81="","",IF(DS81&gt;0,DS81,EQ81-SUM($ES$6:ES81)+SUM($DS$6:DS81)))</f>
        <v>168018.75</v>
      </c>
      <c r="EX81" s="42">
        <f>IF(DM81="","",IF(DT81&gt;0,DT81,ER81-SUM($ET$6:ET81)+SUM($DT$6:DT81)))</f>
        <v>36976.44230769272</v>
      </c>
      <c r="EY81" s="43">
        <f t="shared" si="276"/>
        <v>0.1490384615384632</v>
      </c>
      <c r="EZ81" s="43">
        <f t="shared" si="277"/>
        <v>0.375</v>
      </c>
      <c r="FA81" s="43"/>
      <c r="FB81" s="42">
        <f t="shared" si="278"/>
        <v>4700000</v>
      </c>
      <c r="FC81" s="42">
        <f t="shared" si="279"/>
        <v>5182000</v>
      </c>
      <c r="FD81" s="41">
        <f t="shared" si="293"/>
        <v>54833.333333333336</v>
      </c>
      <c r="FE81" s="41">
        <f t="shared" si="294"/>
        <v>32914.583333333336</v>
      </c>
      <c r="FF81" s="42">
        <f t="shared" si="280"/>
        <v>4112500</v>
      </c>
      <c r="FG81" s="42">
        <f t="shared" si="281"/>
        <v>2468594</v>
      </c>
      <c r="FH81" s="42">
        <f>IF(DM81="","",IF(DU81&gt;0,DU81,FB81-SUM($FD$6:FD81)+SUM($DU$6:DU81)))</f>
        <v>587499.99999999534</v>
      </c>
      <c r="FI81" s="42">
        <f>IF(DM81="","",FC81-SUM($FE$6:FE81)+SUM($DV$6:DV81)-SUM($DW$6:DW81))</f>
        <v>2713406.25</v>
      </c>
      <c r="FJ81" s="152">
        <f t="shared" si="282"/>
        <v>0.33403220501922642</v>
      </c>
      <c r="FN81" s="8"/>
      <c r="FO81" s="8"/>
      <c r="FP81" s="8"/>
      <c r="FQ81" s="8"/>
      <c r="FR81" s="8"/>
      <c r="FS81" s="8"/>
      <c r="FT81" s="8"/>
      <c r="FU81" s="8"/>
      <c r="GC81" s="68">
        <f t="shared" si="246"/>
        <v>76</v>
      </c>
      <c r="GD81" s="78">
        <f t="shared" si="247"/>
        <v>0</v>
      </c>
      <c r="GE81" s="309">
        <f t="shared" si="248"/>
        <v>0.37579458855583647</v>
      </c>
      <c r="GF81" s="78">
        <f t="shared" si="249"/>
        <v>0</v>
      </c>
      <c r="GG81" s="310">
        <f t="shared" si="250"/>
        <v>0.68875928312515378</v>
      </c>
      <c r="GH81" s="78">
        <f t="shared" si="251"/>
        <v>0</v>
      </c>
      <c r="GI81" s="310">
        <f t="shared" si="252"/>
        <v>0.36666666666666664</v>
      </c>
      <c r="GJ81" s="311">
        <f t="shared" si="253"/>
        <v>0</v>
      </c>
      <c r="GK81" s="310">
        <f t="shared" si="254"/>
        <v>0.1243589743589761</v>
      </c>
      <c r="GL81" s="311">
        <f t="shared" si="255"/>
        <v>0</v>
      </c>
      <c r="GM81" s="310">
        <f t="shared" si="256"/>
        <v>0.32515263441948272</v>
      </c>
      <c r="HB81" s="22"/>
      <c r="HE81" s="9"/>
    </row>
    <row r="82" spans="3:221" x14ac:dyDescent="0.2">
      <c r="C82" s="426">
        <f t="shared" si="243"/>
        <v>41699</v>
      </c>
      <c r="D82" s="155">
        <f t="shared" si="244"/>
        <v>14</v>
      </c>
      <c r="E82" s="155">
        <f t="shared" si="242"/>
        <v>12272520</v>
      </c>
      <c r="F82" s="155"/>
      <c r="G82" s="438">
        <f t="shared" si="245"/>
        <v>122596.73076923078</v>
      </c>
      <c r="I82" s="444">
        <f>IF(D82="","",'Mx FORECAST'!DX20)</f>
        <v>1716354.2307692301</v>
      </c>
      <c r="J82" s="155">
        <f>IF(D82="","",'Mx FORECAST'!DP20)</f>
        <v>0</v>
      </c>
      <c r="K82" s="155">
        <f>IF(D82="","",'Mx FORECAST'!DQ20)</f>
        <v>0</v>
      </c>
      <c r="M82" s="155">
        <f>IF(D82="","",'Mx FORECAST'!DR20)</f>
        <v>0</v>
      </c>
      <c r="O82" s="155">
        <f>IF(D82="","",'Mx FORECAST'!DS20)</f>
        <v>0</v>
      </c>
      <c r="Q82" s="155">
        <f>IF(D82="","",'Mx FORECAST'!DT20)</f>
        <v>0</v>
      </c>
      <c r="S82" s="155">
        <f>IF(D82="","",'Mx FORECAST'!DU20)</f>
        <v>0</v>
      </c>
      <c r="U82" s="155">
        <f>IF(D82="","",'Mx FORECAST'!DV20)</f>
        <v>0</v>
      </c>
      <c r="W82" s="540">
        <f>IF(D82="","",'Mx FORECAST'!DY20)</f>
        <v>10556165.76923077</v>
      </c>
      <c r="X82" s="540"/>
      <c r="Y82" s="437">
        <f>IF(D82="","",'Mx FORECAST'!DZ20)</f>
        <v>0.86014655256058004</v>
      </c>
      <c r="AD82" s="155"/>
      <c r="AF82" s="155"/>
      <c r="AH82" s="155"/>
      <c r="AJ82" s="155"/>
      <c r="AK82" s="8"/>
      <c r="AL82" s="8"/>
      <c r="AM82" s="8"/>
      <c r="AN82" s="8"/>
      <c r="AO82" s="8"/>
      <c r="AP82" s="8"/>
      <c r="AQ82" s="7"/>
      <c r="AR82" s="7"/>
      <c r="AS82" s="7"/>
      <c r="AT82" s="7"/>
      <c r="AU82" s="7"/>
      <c r="AV82" s="7"/>
      <c r="AW82" s="7"/>
      <c r="AX82" s="7"/>
      <c r="AY82" s="7"/>
      <c r="AZ82" s="8"/>
      <c r="BZ82" s="9"/>
      <c r="CA82" s="9"/>
      <c r="CB82" s="9"/>
      <c r="DM82" s="44">
        <f t="shared" si="283"/>
        <v>76</v>
      </c>
      <c r="DN82" s="41">
        <f t="shared" si="257"/>
        <v>12389583.5</v>
      </c>
      <c r="DO82" s="41">
        <f t="shared" si="284"/>
        <v>125767.61271367522</v>
      </c>
      <c r="DP82" s="42">
        <f t="shared" si="258"/>
        <v>0</v>
      </c>
      <c r="DQ82" s="42">
        <f t="shared" si="259"/>
        <v>0</v>
      </c>
      <c r="DR82" s="42">
        <f t="shared" si="260"/>
        <v>0</v>
      </c>
      <c r="DS82" s="42">
        <f t="shared" si="261"/>
        <v>0</v>
      </c>
      <c r="DT82" s="42">
        <f t="shared" si="262"/>
        <v>0</v>
      </c>
      <c r="DU82" s="42">
        <f t="shared" si="263"/>
        <v>0</v>
      </c>
      <c r="DV82" s="42">
        <f t="shared" si="264"/>
        <v>0</v>
      </c>
      <c r="DW82" s="42">
        <f t="shared" si="265"/>
        <v>0</v>
      </c>
      <c r="DX82" s="42">
        <f t="shared" si="266"/>
        <v>7733645.0662393197</v>
      </c>
      <c r="DY82" s="42">
        <f>IF(DM82="",DY81,DN82-SUM($DO$6:DO82)+SUM($DP$6:DV82)-SUM($DW$6:DW82))</f>
        <v>4655938.4337606803</v>
      </c>
      <c r="DZ82" s="43">
        <f t="shared" si="285"/>
        <v>0.37579458855583647</v>
      </c>
      <c r="EA82" s="43"/>
      <c r="EB82" s="43" t="str">
        <f t="shared" si="295"/>
        <v>True</v>
      </c>
      <c r="EC82" s="41">
        <f t="shared" si="286"/>
        <v>222480</v>
      </c>
      <c r="ED82" s="41">
        <f t="shared" si="287"/>
        <v>686673.49999999988</v>
      </c>
      <c r="EE82" s="41">
        <f t="shared" si="267"/>
        <v>902280</v>
      </c>
      <c r="EF82" s="41">
        <f t="shared" si="288"/>
        <v>12360</v>
      </c>
      <c r="EG82" s="42">
        <f t="shared" si="289"/>
        <v>9537.1319444444434</v>
      </c>
      <c r="EH82" s="42">
        <f t="shared" si="290"/>
        <v>6265.8333333333321</v>
      </c>
      <c r="EI82" s="42">
        <f t="shared" si="268"/>
        <v>49440</v>
      </c>
      <c r="EJ82" s="42">
        <f t="shared" si="269"/>
        <v>38149</v>
      </c>
      <c r="EK82" s="42">
        <f t="shared" si="270"/>
        <v>476203</v>
      </c>
      <c r="EL82" s="42">
        <f>IF(DM82="","",EC82-SUM($EF$6:EF82)+SUM($DP$6:DP82))</f>
        <v>173039.99999999919</v>
      </c>
      <c r="EM82" s="42">
        <f>IF(DM82="","",ED82-SUM($EG$6:EG82)+SUM($DQ$6:DQ82))</f>
        <v>648524.9722222219</v>
      </c>
      <c r="EN82" s="42">
        <f>IF(DM82="","",EE82-SUM($EH$6:EH82)+SUM($DR$6:DR82))</f>
        <v>426076.66666666721</v>
      </c>
      <c r="EO82" s="152">
        <f t="shared" si="271"/>
        <v>0.68875928312515378</v>
      </c>
      <c r="EP82" s="43"/>
      <c r="EQ82" s="42">
        <f t="shared" si="272"/>
        <v>448050</v>
      </c>
      <c r="ER82" s="42">
        <f t="shared" si="273"/>
        <v>248100</v>
      </c>
      <c r="ES82" s="42">
        <f t="shared" si="291"/>
        <v>3733.75</v>
      </c>
      <c r="ET82" s="42">
        <f t="shared" si="292"/>
        <v>6122.9807692307695</v>
      </c>
      <c r="EU82" s="42">
        <f t="shared" si="274"/>
        <v>283765</v>
      </c>
      <c r="EV82" s="42">
        <f t="shared" si="275"/>
        <v>217247</v>
      </c>
      <c r="EW82" s="42">
        <f>IF(DM82="","",IF(DS82&gt;0,DS82,EQ82-SUM($ES$6:ES82)+SUM($DS$6:DS82)))</f>
        <v>164285</v>
      </c>
      <c r="EX82" s="42">
        <f>IF(DM82="","",IF(DT82&gt;0,DT82,ER82-SUM($ET$6:ET82)+SUM($DT$6:DT82)))</f>
        <v>30853.461538461968</v>
      </c>
      <c r="EY82" s="43">
        <f t="shared" si="276"/>
        <v>0.1243589743589761</v>
      </c>
      <c r="EZ82" s="43">
        <f t="shared" si="277"/>
        <v>0.36666666666666664</v>
      </c>
      <c r="FA82" s="43"/>
      <c r="FB82" s="42">
        <f t="shared" si="278"/>
        <v>4700000</v>
      </c>
      <c r="FC82" s="42">
        <f t="shared" si="279"/>
        <v>5182000</v>
      </c>
      <c r="FD82" s="41">
        <f t="shared" si="293"/>
        <v>54833.333333333336</v>
      </c>
      <c r="FE82" s="41">
        <f t="shared" si="294"/>
        <v>32914.583333333336</v>
      </c>
      <c r="FF82" s="42">
        <f t="shared" si="280"/>
        <v>4167333</v>
      </c>
      <c r="FG82" s="42">
        <f t="shared" si="281"/>
        <v>2501508</v>
      </c>
      <c r="FH82" s="42">
        <f>IF(DM82="","",IF(DU82&gt;0,DU82,FB82-SUM($FD$6:FD82)+SUM($DU$6:DU82)))</f>
        <v>532666.66666666185</v>
      </c>
      <c r="FI82" s="42">
        <f>IF(DM82="","",FC82-SUM($FE$6:FE82)+SUM($DV$6:DV82)-SUM($DW$6:DW82))</f>
        <v>2680491.6666666665</v>
      </c>
      <c r="FJ82" s="152">
        <f t="shared" si="282"/>
        <v>0.32515263441948272</v>
      </c>
      <c r="FN82" s="8"/>
      <c r="FO82" s="8"/>
      <c r="FP82" s="8"/>
      <c r="FQ82" s="8"/>
      <c r="FR82" s="8"/>
      <c r="FS82" s="8"/>
      <c r="FT82" s="8"/>
      <c r="FU82" s="8"/>
      <c r="GC82" s="68">
        <f t="shared" si="246"/>
        <v>77</v>
      </c>
      <c r="GD82" s="78">
        <f t="shared" si="247"/>
        <v>0</v>
      </c>
      <c r="GE82" s="309">
        <f t="shared" si="248"/>
        <v>0.36564351182967564</v>
      </c>
      <c r="GF82" s="78">
        <f t="shared" si="249"/>
        <v>0</v>
      </c>
      <c r="GG82" s="310">
        <f t="shared" si="250"/>
        <v>0.673211947118738</v>
      </c>
      <c r="GH82" s="78">
        <f t="shared" si="251"/>
        <v>0</v>
      </c>
      <c r="GI82" s="310">
        <f t="shared" si="252"/>
        <v>0.35833333333333334</v>
      </c>
      <c r="GJ82" s="311">
        <f t="shared" si="253"/>
        <v>0</v>
      </c>
      <c r="GK82" s="310">
        <f t="shared" si="254"/>
        <v>9.967948717948899E-2</v>
      </c>
      <c r="GL82" s="311">
        <f t="shared" si="255"/>
        <v>0</v>
      </c>
      <c r="GM82" s="310">
        <f t="shared" si="256"/>
        <v>0.31627306381973908</v>
      </c>
      <c r="HB82" s="24"/>
      <c r="HC82" s="13"/>
      <c r="HD82" s="13"/>
      <c r="HE82" s="13"/>
      <c r="HF82" s="13"/>
      <c r="HG82" s="75"/>
      <c r="HH82" s="75"/>
      <c r="HI82" s="75"/>
      <c r="HJ82" s="75"/>
      <c r="HK82" s="75"/>
      <c r="HL82" s="66"/>
      <c r="HM82" s="75"/>
    </row>
    <row r="83" spans="3:221" x14ac:dyDescent="0.2">
      <c r="C83" s="426">
        <f t="shared" si="243"/>
        <v>41730</v>
      </c>
      <c r="D83" s="155">
        <f t="shared" si="244"/>
        <v>15</v>
      </c>
      <c r="E83" s="155">
        <f t="shared" si="242"/>
        <v>12272520</v>
      </c>
      <c r="F83" s="155"/>
      <c r="G83" s="438">
        <f t="shared" si="245"/>
        <v>122596.73076923078</v>
      </c>
      <c r="I83" s="444">
        <f>IF(D83="","",'Mx FORECAST'!DX21)</f>
        <v>1838950.961538462</v>
      </c>
      <c r="J83" s="155">
        <f>IF(D83="","",'Mx FORECAST'!DP21)</f>
        <v>0</v>
      </c>
      <c r="K83" s="155">
        <f>IF(D83="","",'Mx FORECAST'!DQ21)</f>
        <v>0</v>
      </c>
      <c r="M83" s="155">
        <f>IF(D83="","",'Mx FORECAST'!DR21)</f>
        <v>0</v>
      </c>
      <c r="O83" s="155">
        <f>IF(D83="","",'Mx FORECAST'!DS21)</f>
        <v>0</v>
      </c>
      <c r="Q83" s="155">
        <f>IF(D83="","",'Mx FORECAST'!DT21)</f>
        <v>0</v>
      </c>
      <c r="S83" s="155">
        <f>IF(D83="","",'Mx FORECAST'!DU21)</f>
        <v>0</v>
      </c>
      <c r="U83" s="155">
        <f>IF(D83="","",'Mx FORECAST'!DV21)</f>
        <v>0</v>
      </c>
      <c r="W83" s="540">
        <f>IF(D83="","",'Mx FORECAST'!DY21)</f>
        <v>10433569.038461538</v>
      </c>
      <c r="X83" s="540"/>
      <c r="Y83" s="437">
        <f>IF(D83="","",'Mx FORECAST'!DZ21)</f>
        <v>0.85015702060062137</v>
      </c>
      <c r="AD83" s="155"/>
      <c r="AF83" s="155"/>
      <c r="AH83" s="155"/>
      <c r="AJ83" s="155"/>
      <c r="AK83" s="8"/>
      <c r="AL83" s="8"/>
      <c r="AM83" s="8"/>
      <c r="AN83" s="8"/>
      <c r="AO83" s="8"/>
      <c r="AP83" s="8"/>
      <c r="AQ83" s="7"/>
      <c r="AR83" s="7"/>
      <c r="AS83" s="7"/>
      <c r="AT83" s="7"/>
      <c r="AU83" s="7"/>
      <c r="AV83" s="7"/>
      <c r="AW83" s="7"/>
      <c r="AX83" s="7"/>
      <c r="AY83" s="7"/>
      <c r="AZ83" s="8"/>
      <c r="BZ83" s="9"/>
      <c r="CA83" s="9"/>
      <c r="CB83" s="9"/>
      <c r="DM83" s="44">
        <f t="shared" si="283"/>
        <v>77</v>
      </c>
      <c r="DN83" s="41">
        <f t="shared" si="257"/>
        <v>12389583.5</v>
      </c>
      <c r="DO83" s="41">
        <f t="shared" si="284"/>
        <v>125767.61271367522</v>
      </c>
      <c r="DP83" s="42">
        <f t="shared" si="258"/>
        <v>0</v>
      </c>
      <c r="DQ83" s="42">
        <f t="shared" si="259"/>
        <v>0</v>
      </c>
      <c r="DR83" s="42">
        <f t="shared" si="260"/>
        <v>0</v>
      </c>
      <c r="DS83" s="42">
        <f t="shared" si="261"/>
        <v>0</v>
      </c>
      <c r="DT83" s="42">
        <f t="shared" si="262"/>
        <v>0</v>
      </c>
      <c r="DU83" s="42">
        <f t="shared" si="263"/>
        <v>0</v>
      </c>
      <c r="DV83" s="42">
        <f t="shared" si="264"/>
        <v>0</v>
      </c>
      <c r="DW83" s="42">
        <f t="shared" si="265"/>
        <v>0</v>
      </c>
      <c r="DX83" s="42">
        <f t="shared" si="266"/>
        <v>7859412.6789529957</v>
      </c>
      <c r="DY83" s="42">
        <f>IF(DM83="",DY82,DN83-SUM($DO$6:DO83)+SUM($DP$6:DV83)-SUM($DW$6:DW83))</f>
        <v>4530170.8210470043</v>
      </c>
      <c r="DZ83" s="43">
        <f t="shared" si="285"/>
        <v>0.36564351182967564</v>
      </c>
      <c r="EA83" s="43"/>
      <c r="EB83" s="43" t="str">
        <f t="shared" si="295"/>
        <v>True</v>
      </c>
      <c r="EC83" s="41">
        <f t="shared" si="286"/>
        <v>222480</v>
      </c>
      <c r="ED83" s="41">
        <f t="shared" si="287"/>
        <v>686673.49999999988</v>
      </c>
      <c r="EE83" s="41">
        <f t="shared" si="267"/>
        <v>902280</v>
      </c>
      <c r="EF83" s="41">
        <f t="shared" si="288"/>
        <v>12360</v>
      </c>
      <c r="EG83" s="42">
        <f t="shared" si="289"/>
        <v>9537.1319444444434</v>
      </c>
      <c r="EH83" s="42">
        <f t="shared" si="290"/>
        <v>6265.8333333333321</v>
      </c>
      <c r="EI83" s="42">
        <f t="shared" si="268"/>
        <v>61800</v>
      </c>
      <c r="EJ83" s="42">
        <f t="shared" si="269"/>
        <v>47686</v>
      </c>
      <c r="EK83" s="42">
        <f t="shared" si="270"/>
        <v>482469</v>
      </c>
      <c r="EL83" s="42">
        <f>IF(DM83="","",EC83-SUM($EF$6:EF83)+SUM($DP$6:DP83))</f>
        <v>160679.99999999919</v>
      </c>
      <c r="EM83" s="42">
        <f>IF(DM83="","",ED83-SUM($EG$6:EG83)+SUM($DQ$6:DQ83))</f>
        <v>638987.8402777774</v>
      </c>
      <c r="EN83" s="42">
        <f>IF(DM83="","",EE83-SUM($EH$6:EH83)+SUM($DR$6:DR83))</f>
        <v>419810.8333333339</v>
      </c>
      <c r="EO83" s="152">
        <f t="shared" si="271"/>
        <v>0.673211947118738</v>
      </c>
      <c r="EP83" s="43"/>
      <c r="EQ83" s="42">
        <f t="shared" si="272"/>
        <v>448050</v>
      </c>
      <c r="ER83" s="42">
        <f t="shared" si="273"/>
        <v>248100</v>
      </c>
      <c r="ES83" s="42">
        <f t="shared" si="291"/>
        <v>3733.75</v>
      </c>
      <c r="ET83" s="42">
        <f t="shared" si="292"/>
        <v>6122.9807692307695</v>
      </c>
      <c r="EU83" s="42">
        <f t="shared" si="274"/>
        <v>287499</v>
      </c>
      <c r="EV83" s="42">
        <f t="shared" si="275"/>
        <v>223370</v>
      </c>
      <c r="EW83" s="42">
        <f>IF(DM83="","",IF(DS83&gt;0,DS83,EQ83-SUM($ES$6:ES83)+SUM($DS$6:DS83)))</f>
        <v>160551.25</v>
      </c>
      <c r="EX83" s="42">
        <f>IF(DM83="","",IF(DT83&gt;0,DT83,ER83-SUM($ET$6:ET83)+SUM($DT$6:DT83)))</f>
        <v>24730.480769231217</v>
      </c>
      <c r="EY83" s="43">
        <f t="shared" si="276"/>
        <v>9.967948717948899E-2</v>
      </c>
      <c r="EZ83" s="43">
        <f t="shared" si="277"/>
        <v>0.35833333333333334</v>
      </c>
      <c r="FA83" s="43"/>
      <c r="FB83" s="42">
        <f t="shared" si="278"/>
        <v>4700000</v>
      </c>
      <c r="FC83" s="42">
        <f t="shared" si="279"/>
        <v>5182000</v>
      </c>
      <c r="FD83" s="41">
        <f t="shared" si="293"/>
        <v>54833.333333333336</v>
      </c>
      <c r="FE83" s="41">
        <f t="shared" si="294"/>
        <v>32914.583333333336</v>
      </c>
      <c r="FF83" s="42">
        <f t="shared" si="280"/>
        <v>4222167</v>
      </c>
      <c r="FG83" s="42">
        <f t="shared" si="281"/>
        <v>2534423</v>
      </c>
      <c r="FH83" s="42">
        <f>IF(DM83="","",IF(DU83&gt;0,DU83,FB83-SUM($FD$6:FD83)+SUM($DU$6:DU83)))</f>
        <v>477833.33333332837</v>
      </c>
      <c r="FI83" s="42">
        <f>IF(DM83="","",FC83-SUM($FE$6:FE83)+SUM($DV$6:DV83)-SUM($DW$6:DW83))</f>
        <v>2647577.083333333</v>
      </c>
      <c r="FJ83" s="152">
        <f t="shared" si="282"/>
        <v>0.31627306381973908</v>
      </c>
      <c r="FN83" s="8"/>
      <c r="FO83" s="8"/>
      <c r="FP83" s="8"/>
      <c r="FQ83" s="8"/>
      <c r="FR83" s="8"/>
      <c r="FS83" s="8"/>
      <c r="FT83" s="8"/>
      <c r="FU83" s="8"/>
      <c r="GC83" s="68">
        <f t="shared" si="246"/>
        <v>78</v>
      </c>
      <c r="GD83" s="78">
        <f t="shared" si="247"/>
        <v>0</v>
      </c>
      <c r="GE83" s="309">
        <f t="shared" si="248"/>
        <v>0.35549243510351486</v>
      </c>
      <c r="GF83" s="78">
        <f t="shared" si="249"/>
        <v>0</v>
      </c>
      <c r="GG83" s="310">
        <f t="shared" si="250"/>
        <v>0.65766461111232211</v>
      </c>
      <c r="GH83" s="78">
        <f t="shared" si="251"/>
        <v>0</v>
      </c>
      <c r="GI83" s="310">
        <f t="shared" si="252"/>
        <v>0.35</v>
      </c>
      <c r="GJ83" s="311">
        <f t="shared" si="253"/>
        <v>0</v>
      </c>
      <c r="GK83" s="310">
        <f t="shared" si="254"/>
        <v>7.5000000000001871E-2</v>
      </c>
      <c r="GL83" s="311">
        <f t="shared" si="255"/>
        <v>0</v>
      </c>
      <c r="GM83" s="310">
        <f t="shared" si="256"/>
        <v>0.30739349321999543</v>
      </c>
      <c r="HB83" s="24"/>
      <c r="HC83" s="13"/>
      <c r="HD83" s="13"/>
      <c r="HE83" s="13"/>
      <c r="HF83" s="13"/>
      <c r="HG83" s="75"/>
      <c r="HH83" s="75"/>
      <c r="HI83" s="75"/>
      <c r="HJ83" s="75"/>
      <c r="HK83" s="75"/>
      <c r="HL83" s="66"/>
      <c r="HM83" s="75"/>
    </row>
    <row r="84" spans="3:221" x14ac:dyDescent="0.2">
      <c r="C84" s="426">
        <f t="shared" si="243"/>
        <v>41760</v>
      </c>
      <c r="D84" s="155">
        <f t="shared" si="244"/>
        <v>16</v>
      </c>
      <c r="E84" s="155">
        <f t="shared" si="242"/>
        <v>12272520</v>
      </c>
      <c r="F84" s="155"/>
      <c r="G84" s="438">
        <f t="shared" si="245"/>
        <v>122596.73076923078</v>
      </c>
      <c r="I84" s="444">
        <f>IF(D84="","",'Mx FORECAST'!DX22)</f>
        <v>1961547.692307692</v>
      </c>
      <c r="J84" s="155">
        <f>IF(D84="","",'Mx FORECAST'!DP22)</f>
        <v>0</v>
      </c>
      <c r="K84" s="155">
        <f>IF(D84="","",'Mx FORECAST'!DQ22)</f>
        <v>0</v>
      </c>
      <c r="M84" s="155">
        <f>IF(D84="","",'Mx FORECAST'!DR22)</f>
        <v>0</v>
      </c>
      <c r="O84" s="155">
        <f>IF(D84="","",'Mx FORECAST'!DS22)</f>
        <v>0</v>
      </c>
      <c r="Q84" s="155">
        <f>IF(D84="","",'Mx FORECAST'!DT22)</f>
        <v>0</v>
      </c>
      <c r="S84" s="155">
        <f>IF(D84="","",'Mx FORECAST'!DU22)</f>
        <v>0</v>
      </c>
      <c r="U84" s="155">
        <f>IF(D84="","",'Mx FORECAST'!DV22)</f>
        <v>0</v>
      </c>
      <c r="W84" s="540">
        <f>IF(D84="","",'Mx FORECAST'!DY22)</f>
        <v>10310972.307692308</v>
      </c>
      <c r="X84" s="540"/>
      <c r="Y84" s="437">
        <f>IF(D84="","",'Mx FORECAST'!DZ22)</f>
        <v>0.84016748864066293</v>
      </c>
      <c r="AD84" s="155"/>
      <c r="AF84" s="155"/>
      <c r="AH84" s="155"/>
      <c r="AJ84" s="155"/>
      <c r="AK84" s="8"/>
      <c r="AL84" s="8"/>
      <c r="AM84" s="8"/>
      <c r="AN84" s="8"/>
      <c r="AO84" s="8"/>
      <c r="AP84" s="8"/>
      <c r="AQ84" s="7"/>
      <c r="AR84" s="7"/>
      <c r="AS84" s="7"/>
      <c r="AT84" s="7"/>
      <c r="AU84" s="7"/>
      <c r="AV84" s="7"/>
      <c r="AW84" s="7"/>
      <c r="AX84" s="7"/>
      <c r="AY84" s="7"/>
      <c r="AZ84" s="8"/>
      <c r="BZ84" s="9"/>
      <c r="CA84" s="9"/>
      <c r="CB84" s="9"/>
      <c r="DM84" s="44">
        <f t="shared" si="283"/>
        <v>78</v>
      </c>
      <c r="DN84" s="41">
        <f t="shared" si="257"/>
        <v>12389583.5</v>
      </c>
      <c r="DO84" s="41">
        <f t="shared" si="284"/>
        <v>125767.61271367522</v>
      </c>
      <c r="DP84" s="42">
        <f t="shared" si="258"/>
        <v>0</v>
      </c>
      <c r="DQ84" s="42">
        <f t="shared" si="259"/>
        <v>0</v>
      </c>
      <c r="DR84" s="42">
        <f t="shared" si="260"/>
        <v>0</v>
      </c>
      <c r="DS84" s="42">
        <f t="shared" si="261"/>
        <v>0</v>
      </c>
      <c r="DT84" s="42">
        <f t="shared" si="262"/>
        <v>0</v>
      </c>
      <c r="DU84" s="42">
        <f t="shared" si="263"/>
        <v>0</v>
      </c>
      <c r="DV84" s="42">
        <f t="shared" si="264"/>
        <v>0</v>
      </c>
      <c r="DW84" s="42">
        <f t="shared" si="265"/>
        <v>0</v>
      </c>
      <c r="DX84" s="42">
        <f t="shared" si="266"/>
        <v>7985180.2916666716</v>
      </c>
      <c r="DY84" s="42">
        <f>IF(DM84="",DY83,DN84-SUM($DO$6:DO84)+SUM($DP$6:DV84)-SUM($DW$6:DW84))</f>
        <v>4404403.2083333284</v>
      </c>
      <c r="DZ84" s="43">
        <f t="shared" si="285"/>
        <v>0.35549243510351486</v>
      </c>
      <c r="EA84" s="43"/>
      <c r="EB84" s="43" t="str">
        <f t="shared" si="295"/>
        <v>True</v>
      </c>
      <c r="EC84" s="41">
        <f t="shared" si="286"/>
        <v>222480</v>
      </c>
      <c r="ED84" s="41">
        <f t="shared" si="287"/>
        <v>686673.49999999988</v>
      </c>
      <c r="EE84" s="41">
        <f t="shared" si="267"/>
        <v>902280</v>
      </c>
      <c r="EF84" s="41">
        <f t="shared" si="288"/>
        <v>12360</v>
      </c>
      <c r="EG84" s="42">
        <f t="shared" si="289"/>
        <v>9537.1319444444434</v>
      </c>
      <c r="EH84" s="42">
        <f t="shared" si="290"/>
        <v>6265.8333333333321</v>
      </c>
      <c r="EI84" s="42">
        <f t="shared" si="268"/>
        <v>74160</v>
      </c>
      <c r="EJ84" s="42">
        <f t="shared" si="269"/>
        <v>57223</v>
      </c>
      <c r="EK84" s="42">
        <f t="shared" si="270"/>
        <v>488735</v>
      </c>
      <c r="EL84" s="42">
        <f>IF(DM84="","",EC84-SUM($EF$6:EF84)+SUM($DP$6:DP84))</f>
        <v>148319.99999999919</v>
      </c>
      <c r="EM84" s="42">
        <f>IF(DM84="","",ED84-SUM($EG$6:EG84)+SUM($DQ$6:DQ84))</f>
        <v>629450.70833333291</v>
      </c>
      <c r="EN84" s="42">
        <f>IF(DM84="","",EE84-SUM($EH$6:EH84)+SUM($DR$6:DR84))</f>
        <v>413545.00000000058</v>
      </c>
      <c r="EO84" s="152">
        <f t="shared" si="271"/>
        <v>0.65766461111232211</v>
      </c>
      <c r="EP84" s="43"/>
      <c r="EQ84" s="42">
        <f t="shared" si="272"/>
        <v>448050</v>
      </c>
      <c r="ER84" s="42">
        <f t="shared" si="273"/>
        <v>248100</v>
      </c>
      <c r="ES84" s="42">
        <f t="shared" si="291"/>
        <v>3733.75</v>
      </c>
      <c r="ET84" s="42">
        <f t="shared" si="292"/>
        <v>6122.9807692307695</v>
      </c>
      <c r="EU84" s="42">
        <f t="shared" si="274"/>
        <v>291233</v>
      </c>
      <c r="EV84" s="42">
        <f t="shared" si="275"/>
        <v>229493</v>
      </c>
      <c r="EW84" s="42">
        <f>IF(DM84="","",IF(DS84&gt;0,DS84,EQ84-SUM($ES$6:ES84)+SUM($DS$6:DS84)))</f>
        <v>156817.5</v>
      </c>
      <c r="EX84" s="42">
        <f>IF(DM84="","",IF(DT84&gt;0,DT84,ER84-SUM($ET$6:ET84)+SUM($DT$6:DT84)))</f>
        <v>18607.500000000466</v>
      </c>
      <c r="EY84" s="43">
        <f t="shared" si="276"/>
        <v>7.5000000000001871E-2</v>
      </c>
      <c r="EZ84" s="43">
        <f t="shared" si="277"/>
        <v>0.35</v>
      </c>
      <c r="FA84" s="43"/>
      <c r="FB84" s="42">
        <f t="shared" si="278"/>
        <v>4700000</v>
      </c>
      <c r="FC84" s="42">
        <f t="shared" si="279"/>
        <v>5182000</v>
      </c>
      <c r="FD84" s="41">
        <f t="shared" si="293"/>
        <v>54833.333333333336</v>
      </c>
      <c r="FE84" s="41">
        <f t="shared" si="294"/>
        <v>32914.583333333336</v>
      </c>
      <c r="FF84" s="42">
        <f t="shared" si="280"/>
        <v>4277000</v>
      </c>
      <c r="FG84" s="42">
        <f t="shared" si="281"/>
        <v>2567338</v>
      </c>
      <c r="FH84" s="42">
        <f>IF(DM84="","",IF(DU84&gt;0,DU84,FB84-SUM($FD$6:FD84)+SUM($DU$6:DU84)))</f>
        <v>422999.99999999534</v>
      </c>
      <c r="FI84" s="42">
        <f>IF(DM84="","",FC84-SUM($FE$6:FE84)+SUM($DV$6:DV84)-SUM($DW$6:DW84))</f>
        <v>2614662.4999999995</v>
      </c>
      <c r="FJ84" s="152">
        <f t="shared" si="282"/>
        <v>0.30739349321999543</v>
      </c>
      <c r="FN84" s="8"/>
      <c r="FO84" s="8"/>
      <c r="FP84" s="8"/>
      <c r="FQ84" s="8"/>
      <c r="FR84" s="8"/>
      <c r="FS84" s="8"/>
      <c r="FT84" s="8"/>
      <c r="FU84" s="8"/>
      <c r="GC84" s="68">
        <f t="shared" si="246"/>
        <v>79</v>
      </c>
      <c r="GD84" s="78">
        <f t="shared" si="247"/>
        <v>0</v>
      </c>
      <c r="GE84" s="309">
        <f t="shared" si="248"/>
        <v>0.34534135837735402</v>
      </c>
      <c r="GF84" s="78">
        <f t="shared" si="249"/>
        <v>0</v>
      </c>
      <c r="GG84" s="310">
        <f t="shared" si="250"/>
        <v>0.64211727510590633</v>
      </c>
      <c r="GH84" s="78">
        <f t="shared" si="251"/>
        <v>0</v>
      </c>
      <c r="GI84" s="310">
        <f t="shared" si="252"/>
        <v>0.34166666666666667</v>
      </c>
      <c r="GJ84" s="311">
        <f t="shared" si="253"/>
        <v>0</v>
      </c>
      <c r="GK84" s="310">
        <f t="shared" si="254"/>
        <v>5.0320512820514772E-2</v>
      </c>
      <c r="GL84" s="311">
        <f t="shared" si="255"/>
        <v>0</v>
      </c>
      <c r="GM84" s="310">
        <f t="shared" si="256"/>
        <v>0.29851392262025178</v>
      </c>
      <c r="HB84" s="24"/>
      <c r="HC84" s="13"/>
      <c r="HD84" s="13"/>
      <c r="HE84" s="13"/>
      <c r="HF84" s="13"/>
      <c r="HG84" s="75"/>
      <c r="HH84" s="75"/>
      <c r="HI84" s="75"/>
      <c r="HJ84" s="75"/>
      <c r="HK84" s="75"/>
      <c r="HL84" s="66"/>
      <c r="HM84" s="75"/>
    </row>
    <row r="85" spans="3:221" x14ac:dyDescent="0.2">
      <c r="C85" s="426">
        <f t="shared" si="243"/>
        <v>41791</v>
      </c>
      <c r="D85" s="155">
        <f t="shared" si="244"/>
        <v>17</v>
      </c>
      <c r="E85" s="155">
        <f t="shared" si="242"/>
        <v>12272520</v>
      </c>
      <c r="F85" s="155"/>
      <c r="G85" s="438">
        <f t="shared" si="245"/>
        <v>122596.73076923078</v>
      </c>
      <c r="I85" s="444">
        <f>IF(D85="","",'Mx FORECAST'!DX23)</f>
        <v>2084144.4230769239</v>
      </c>
      <c r="J85" s="155">
        <f>IF(D85="","",'Mx FORECAST'!DP23)</f>
        <v>0</v>
      </c>
      <c r="K85" s="155">
        <f>IF(D85="","",'Mx FORECAST'!DQ23)</f>
        <v>0</v>
      </c>
      <c r="M85" s="155">
        <f>IF(D85="","",'Mx FORECAST'!DR23)</f>
        <v>0</v>
      </c>
      <c r="O85" s="155">
        <f>IF(D85="","",'Mx FORECAST'!DS23)</f>
        <v>0</v>
      </c>
      <c r="Q85" s="155">
        <f>IF(D85="","",'Mx FORECAST'!DT23)</f>
        <v>0</v>
      </c>
      <c r="S85" s="155">
        <f>IF(D85="","",'Mx FORECAST'!DU23)</f>
        <v>0</v>
      </c>
      <c r="U85" s="155">
        <f>IF(D85="","",'Mx FORECAST'!DV23)</f>
        <v>0</v>
      </c>
      <c r="W85" s="540">
        <f>IF(D85="","",'Mx FORECAST'!DY23)</f>
        <v>10188375.576923076</v>
      </c>
      <c r="X85" s="540"/>
      <c r="Y85" s="437">
        <f>IF(D85="","",'Mx FORECAST'!DZ23)</f>
        <v>0.83017795668070427</v>
      </c>
      <c r="AD85" s="155"/>
      <c r="AF85" s="155"/>
      <c r="AH85" s="155"/>
      <c r="AJ85" s="155"/>
      <c r="AK85" s="8"/>
      <c r="AL85" s="8"/>
      <c r="AM85" s="8"/>
      <c r="AN85" s="8"/>
      <c r="AO85" s="8"/>
      <c r="AP85" s="8"/>
      <c r="AQ85" s="7"/>
      <c r="AR85" s="7"/>
      <c r="AS85" s="7"/>
      <c r="AT85" s="7"/>
      <c r="AU85" s="7"/>
      <c r="AV85" s="7"/>
      <c r="AW85" s="7"/>
      <c r="AX85" s="7"/>
      <c r="AY85" s="7"/>
      <c r="AZ85" s="8"/>
      <c r="BZ85" s="9"/>
      <c r="CA85" s="9"/>
      <c r="CB85" s="9"/>
      <c r="DM85" s="44">
        <f t="shared" si="283"/>
        <v>79</v>
      </c>
      <c r="DN85" s="41">
        <f t="shared" si="257"/>
        <v>12389583.5</v>
      </c>
      <c r="DO85" s="41">
        <f t="shared" si="284"/>
        <v>125767.61271367522</v>
      </c>
      <c r="DP85" s="42">
        <f t="shared" si="258"/>
        <v>0</v>
      </c>
      <c r="DQ85" s="42">
        <f t="shared" si="259"/>
        <v>0</v>
      </c>
      <c r="DR85" s="42">
        <f t="shared" si="260"/>
        <v>0</v>
      </c>
      <c r="DS85" s="42">
        <f t="shared" si="261"/>
        <v>0</v>
      </c>
      <c r="DT85" s="42">
        <f t="shared" si="262"/>
        <v>0</v>
      </c>
      <c r="DU85" s="42">
        <f t="shared" si="263"/>
        <v>0</v>
      </c>
      <c r="DV85" s="42">
        <f t="shared" si="264"/>
        <v>0</v>
      </c>
      <c r="DW85" s="42">
        <f t="shared" si="265"/>
        <v>0</v>
      </c>
      <c r="DX85" s="42">
        <f t="shared" si="266"/>
        <v>8110947.9043803476</v>
      </c>
      <c r="DY85" s="42">
        <f>IF(DM85="",DY84,DN85-SUM($DO$6:DO85)+SUM($DP$6:DV85)-SUM($DW$6:DW85))</f>
        <v>4278635.5956196524</v>
      </c>
      <c r="DZ85" s="43">
        <f t="shared" si="285"/>
        <v>0.34534135837735402</v>
      </c>
      <c r="EA85" s="43"/>
      <c r="EB85" s="43" t="str">
        <f t="shared" si="295"/>
        <v>True</v>
      </c>
      <c r="EC85" s="41">
        <f t="shared" si="286"/>
        <v>222480</v>
      </c>
      <c r="ED85" s="41">
        <f t="shared" si="287"/>
        <v>686673.49999999988</v>
      </c>
      <c r="EE85" s="41">
        <f t="shared" si="267"/>
        <v>902280</v>
      </c>
      <c r="EF85" s="41">
        <f t="shared" si="288"/>
        <v>12360</v>
      </c>
      <c r="EG85" s="42">
        <f t="shared" si="289"/>
        <v>9537.1319444444434</v>
      </c>
      <c r="EH85" s="42">
        <f t="shared" si="290"/>
        <v>6265.8333333333321</v>
      </c>
      <c r="EI85" s="42">
        <f t="shared" si="268"/>
        <v>86520</v>
      </c>
      <c r="EJ85" s="42">
        <f t="shared" si="269"/>
        <v>66760</v>
      </c>
      <c r="EK85" s="42">
        <f t="shared" si="270"/>
        <v>495001</v>
      </c>
      <c r="EL85" s="42">
        <f>IF(DM85="","",EC85-SUM($EF$6:EF85)+SUM($DP$6:DP85))</f>
        <v>135959.99999999919</v>
      </c>
      <c r="EM85" s="42">
        <f>IF(DM85="","",ED85-SUM($EG$6:EG85)+SUM($DQ$6:DQ85))</f>
        <v>619913.57638888841</v>
      </c>
      <c r="EN85" s="42">
        <f>IF(DM85="","",EE85-SUM($EH$6:EH85)+SUM($DR$6:DR85))</f>
        <v>407279.16666666727</v>
      </c>
      <c r="EO85" s="152">
        <f t="shared" si="271"/>
        <v>0.64211727510590633</v>
      </c>
      <c r="EP85" s="43"/>
      <c r="EQ85" s="42">
        <f t="shared" si="272"/>
        <v>448050</v>
      </c>
      <c r="ER85" s="42">
        <f t="shared" si="273"/>
        <v>248100</v>
      </c>
      <c r="ES85" s="42">
        <f t="shared" si="291"/>
        <v>3733.75</v>
      </c>
      <c r="ET85" s="42">
        <f t="shared" si="292"/>
        <v>6122.9807692307695</v>
      </c>
      <c r="EU85" s="42">
        <f t="shared" si="274"/>
        <v>294966</v>
      </c>
      <c r="EV85" s="42">
        <f t="shared" si="275"/>
        <v>235615</v>
      </c>
      <c r="EW85" s="42">
        <f>IF(DM85="","",IF(DS85&gt;0,DS85,EQ85-SUM($ES$6:ES85)+SUM($DS$6:DS85)))</f>
        <v>153083.75</v>
      </c>
      <c r="EX85" s="42">
        <f>IF(DM85="","",IF(DT85&gt;0,DT85,ER85-SUM($ET$6:ET85)+SUM($DT$6:DT85)))</f>
        <v>12484.519230769714</v>
      </c>
      <c r="EY85" s="43">
        <f t="shared" si="276"/>
        <v>5.0320512820514772E-2</v>
      </c>
      <c r="EZ85" s="43">
        <f t="shared" si="277"/>
        <v>0.34166666666666667</v>
      </c>
      <c r="FA85" s="43"/>
      <c r="FB85" s="42">
        <f t="shared" si="278"/>
        <v>4700000</v>
      </c>
      <c r="FC85" s="42">
        <f t="shared" si="279"/>
        <v>5182000</v>
      </c>
      <c r="FD85" s="41">
        <f t="shared" si="293"/>
        <v>54833.333333333336</v>
      </c>
      <c r="FE85" s="41">
        <f t="shared" si="294"/>
        <v>32914.583333333336</v>
      </c>
      <c r="FF85" s="42">
        <f t="shared" si="280"/>
        <v>4331833</v>
      </c>
      <c r="FG85" s="42">
        <f t="shared" si="281"/>
        <v>2600252</v>
      </c>
      <c r="FH85" s="42">
        <f>IF(DM85="","",IF(DU85&gt;0,DU85,FB85-SUM($FD$6:FD85)+SUM($DU$6:DU85)))</f>
        <v>368166.66666666232</v>
      </c>
      <c r="FI85" s="42">
        <f>IF(DM85="","",FC85-SUM($FE$6:FE85)+SUM($DV$6:DV85)-SUM($DW$6:DW85))</f>
        <v>2581747.916666666</v>
      </c>
      <c r="FJ85" s="152">
        <f t="shared" si="282"/>
        <v>0.29851392262025178</v>
      </c>
      <c r="FN85" s="8"/>
      <c r="FO85" s="8"/>
      <c r="FP85" s="8"/>
      <c r="FQ85" s="8"/>
      <c r="FR85" s="8"/>
      <c r="FS85" s="8"/>
      <c r="FT85" s="8"/>
      <c r="FU85" s="8"/>
      <c r="GC85" s="68">
        <f t="shared" si="246"/>
        <v>80</v>
      </c>
      <c r="GD85" s="78">
        <f t="shared" si="247"/>
        <v>0</v>
      </c>
      <c r="GE85" s="309">
        <f t="shared" si="248"/>
        <v>0.33519028165119324</v>
      </c>
      <c r="GF85" s="78">
        <f t="shared" si="249"/>
        <v>0</v>
      </c>
      <c r="GG85" s="310">
        <f t="shared" si="250"/>
        <v>0.62656993909949055</v>
      </c>
      <c r="GH85" s="78">
        <f t="shared" si="251"/>
        <v>0</v>
      </c>
      <c r="GI85" s="310">
        <f t="shared" si="252"/>
        <v>0.33333333333333331</v>
      </c>
      <c r="GJ85" s="311">
        <f t="shared" si="253"/>
        <v>0</v>
      </c>
      <c r="GK85" s="310">
        <f t="shared" si="254"/>
        <v>2.5641025641027663E-2</v>
      </c>
      <c r="GL85" s="311">
        <f t="shared" si="255"/>
        <v>0</v>
      </c>
      <c r="GM85" s="310">
        <f t="shared" si="256"/>
        <v>0.28963435202050819</v>
      </c>
      <c r="HB85" s="24"/>
      <c r="HC85" s="13"/>
      <c r="HD85" s="13"/>
      <c r="HE85" s="13"/>
      <c r="HF85" s="13"/>
      <c r="HG85" s="75"/>
      <c r="HH85" s="75"/>
      <c r="HI85" s="75"/>
      <c r="HJ85" s="75"/>
      <c r="HK85" s="75"/>
      <c r="HL85" s="66"/>
      <c r="HM85" s="75"/>
    </row>
    <row r="86" spans="3:221" x14ac:dyDescent="0.2">
      <c r="C86" s="426">
        <f t="shared" si="243"/>
        <v>41821</v>
      </c>
      <c r="D86" s="155">
        <f t="shared" si="244"/>
        <v>18</v>
      </c>
      <c r="E86" s="155">
        <f t="shared" si="242"/>
        <v>12272520</v>
      </c>
      <c r="F86" s="155"/>
      <c r="G86" s="438">
        <f t="shared" si="245"/>
        <v>122596.73076923078</v>
      </c>
      <c r="I86" s="444">
        <f>IF(D86="","",'Mx FORECAST'!DX24)</f>
        <v>2021341.153846154</v>
      </c>
      <c r="J86" s="155">
        <f>IF(D86="","",'Mx FORECAST'!DP24)</f>
        <v>185400</v>
      </c>
      <c r="K86" s="155">
        <f>IF(D86="","",'Mx FORECAST'!DQ24)</f>
        <v>0</v>
      </c>
      <c r="M86" s="155">
        <f>IF(D86="","",'Mx FORECAST'!DR24)</f>
        <v>0</v>
      </c>
      <c r="O86" s="155">
        <f>IF(D86="","",'Mx FORECAST'!DS24)</f>
        <v>0</v>
      </c>
      <c r="Q86" s="155">
        <f>IF(D86="","",'Mx FORECAST'!DT24)</f>
        <v>0</v>
      </c>
      <c r="S86" s="155">
        <f>IF(D86="","",'Mx FORECAST'!DU24)</f>
        <v>0</v>
      </c>
      <c r="U86" s="155">
        <f>IF(D86="","",'Mx FORECAST'!DV24)</f>
        <v>0</v>
      </c>
      <c r="W86" s="540">
        <f>IF(D86="","",'Mx FORECAST'!DY24)</f>
        <v>10251178.846153846</v>
      </c>
      <c r="X86" s="540"/>
      <c r="Y86" s="437">
        <f>IF(D86="","",'Mx FORECAST'!DZ24)</f>
        <v>0.83529534652653614</v>
      </c>
      <c r="AD86" s="155"/>
      <c r="AF86" s="155"/>
      <c r="AH86" s="155"/>
      <c r="AJ86" s="155"/>
      <c r="AK86" s="8"/>
      <c r="AL86" s="8"/>
      <c r="AM86" s="8"/>
      <c r="AN86" s="8"/>
      <c r="AO86" s="8"/>
      <c r="AP86" s="8"/>
      <c r="AQ86" s="7"/>
      <c r="AR86" s="7"/>
      <c r="AS86" s="7"/>
      <c r="AT86" s="7"/>
      <c r="AU86" s="7"/>
      <c r="AV86" s="7"/>
      <c r="AW86" s="7"/>
      <c r="AX86" s="7"/>
      <c r="AY86" s="7"/>
      <c r="AZ86" s="8"/>
      <c r="BZ86" s="9"/>
      <c r="CA86" s="9"/>
      <c r="CB86" s="9"/>
      <c r="DM86" s="44">
        <f t="shared" si="283"/>
        <v>80</v>
      </c>
      <c r="DN86" s="41">
        <f t="shared" si="257"/>
        <v>12389583.5</v>
      </c>
      <c r="DO86" s="41">
        <f t="shared" si="284"/>
        <v>125767.61271367522</v>
      </c>
      <c r="DP86" s="42">
        <f t="shared" si="258"/>
        <v>0</v>
      </c>
      <c r="DQ86" s="42">
        <f t="shared" si="259"/>
        <v>0</v>
      </c>
      <c r="DR86" s="42">
        <f t="shared" si="260"/>
        <v>0</v>
      </c>
      <c r="DS86" s="42">
        <f t="shared" si="261"/>
        <v>0</v>
      </c>
      <c r="DT86" s="42">
        <f t="shared" si="262"/>
        <v>0</v>
      </c>
      <c r="DU86" s="42">
        <f t="shared" si="263"/>
        <v>0</v>
      </c>
      <c r="DV86" s="42">
        <f t="shared" si="264"/>
        <v>0</v>
      </c>
      <c r="DW86" s="42">
        <f t="shared" si="265"/>
        <v>0</v>
      </c>
      <c r="DX86" s="42">
        <f t="shared" si="266"/>
        <v>8236715.5170940235</v>
      </c>
      <c r="DY86" s="42">
        <f>IF(DM86="",DY85,DN86-SUM($DO$6:DO86)+SUM($DP$6:DV86)-SUM($DW$6:DW86))</f>
        <v>4152867.9829059765</v>
      </c>
      <c r="DZ86" s="43">
        <f t="shared" si="285"/>
        <v>0.33519028165119324</v>
      </c>
      <c r="EA86" s="43"/>
      <c r="EB86" s="43" t="str">
        <f t="shared" si="295"/>
        <v>True</v>
      </c>
      <c r="EC86" s="41">
        <f t="shared" si="286"/>
        <v>222480</v>
      </c>
      <c r="ED86" s="41">
        <f t="shared" si="287"/>
        <v>686673.49999999988</v>
      </c>
      <c r="EE86" s="41">
        <f t="shared" si="267"/>
        <v>902280</v>
      </c>
      <c r="EF86" s="41">
        <f t="shared" si="288"/>
        <v>12360</v>
      </c>
      <c r="EG86" s="42">
        <f t="shared" si="289"/>
        <v>9537.1319444444434</v>
      </c>
      <c r="EH86" s="42">
        <f t="shared" si="290"/>
        <v>6265.8333333333321</v>
      </c>
      <c r="EI86" s="42">
        <f t="shared" si="268"/>
        <v>98880</v>
      </c>
      <c r="EJ86" s="42">
        <f t="shared" si="269"/>
        <v>76297</v>
      </c>
      <c r="EK86" s="42">
        <f t="shared" si="270"/>
        <v>501267</v>
      </c>
      <c r="EL86" s="42">
        <f>IF(DM86="","",EC86-SUM($EF$6:EF86)+SUM($DP$6:DP86))</f>
        <v>123599.99999999919</v>
      </c>
      <c r="EM86" s="42">
        <f>IF(DM86="","",ED86-SUM($EG$6:EG86)+SUM($DQ$6:DQ86))</f>
        <v>610376.44444444391</v>
      </c>
      <c r="EN86" s="42">
        <f>IF(DM86="","",EE86-SUM($EH$6:EH86)+SUM($DR$6:DR86))</f>
        <v>401013.33333333395</v>
      </c>
      <c r="EO86" s="152">
        <f t="shared" si="271"/>
        <v>0.62656993909949055</v>
      </c>
      <c r="EP86" s="43"/>
      <c r="EQ86" s="42">
        <f t="shared" si="272"/>
        <v>448050</v>
      </c>
      <c r="ER86" s="42">
        <f t="shared" si="273"/>
        <v>248100</v>
      </c>
      <c r="ES86" s="42">
        <f t="shared" si="291"/>
        <v>3733.75</v>
      </c>
      <c r="ET86" s="42">
        <f t="shared" si="292"/>
        <v>6122.9807692307695</v>
      </c>
      <c r="EU86" s="42">
        <f t="shared" si="274"/>
        <v>298700</v>
      </c>
      <c r="EV86" s="42">
        <f t="shared" si="275"/>
        <v>241738</v>
      </c>
      <c r="EW86" s="42">
        <f>IF(DM86="","",IF(DS86&gt;0,DS86,EQ86-SUM($ES$6:ES86)+SUM($DS$6:DS86)))</f>
        <v>149350</v>
      </c>
      <c r="EX86" s="42">
        <f>IF(DM86="","",IF(DT86&gt;0,DT86,ER86-SUM($ET$6:ET86)+SUM($DT$6:DT86)))</f>
        <v>6361.538461538963</v>
      </c>
      <c r="EY86" s="43">
        <f t="shared" si="276"/>
        <v>2.5641025641027663E-2</v>
      </c>
      <c r="EZ86" s="43">
        <f t="shared" si="277"/>
        <v>0.33333333333333331</v>
      </c>
      <c r="FA86" s="43"/>
      <c r="FB86" s="42">
        <f t="shared" si="278"/>
        <v>4700000</v>
      </c>
      <c r="FC86" s="42">
        <f t="shared" si="279"/>
        <v>5182000</v>
      </c>
      <c r="FD86" s="41">
        <f t="shared" si="293"/>
        <v>54833.333333333336</v>
      </c>
      <c r="FE86" s="41">
        <f t="shared" si="294"/>
        <v>32914.583333333336</v>
      </c>
      <c r="FF86" s="42">
        <f t="shared" si="280"/>
        <v>4386667</v>
      </c>
      <c r="FG86" s="42">
        <f t="shared" si="281"/>
        <v>2633167</v>
      </c>
      <c r="FH86" s="42">
        <f>IF(DM86="","",IF(DU86&gt;0,DU86,FB86-SUM($FD$6:FD86)+SUM($DU$6:DU86)))</f>
        <v>313333.3333333293</v>
      </c>
      <c r="FI86" s="42">
        <f>IF(DM86="","",FC86-SUM($FE$6:FE86)+SUM($DV$6:DV86)-SUM($DW$6:DW86))</f>
        <v>2548833.3333333326</v>
      </c>
      <c r="FJ86" s="152">
        <f t="shared" si="282"/>
        <v>0.28963435202050819</v>
      </c>
      <c r="FN86" s="8"/>
      <c r="FO86" s="8"/>
      <c r="FP86" s="8"/>
      <c r="FQ86" s="8"/>
      <c r="FR86" s="8"/>
      <c r="FS86" s="8"/>
      <c r="FT86" s="8"/>
      <c r="FU86" s="8"/>
      <c r="GC86" s="68">
        <f t="shared" si="246"/>
        <v>81</v>
      </c>
      <c r="GD86" s="78">
        <f t="shared" si="247"/>
        <v>0</v>
      </c>
      <c r="GE86" s="309">
        <f t="shared" si="248"/>
        <v>0.32503920492503241</v>
      </c>
      <c r="GF86" s="78">
        <f t="shared" si="249"/>
        <v>0</v>
      </c>
      <c r="GG86" s="310">
        <f t="shared" si="250"/>
        <v>0.61102260309307477</v>
      </c>
      <c r="GH86" s="78">
        <f t="shared" si="251"/>
        <v>0</v>
      </c>
      <c r="GI86" s="310">
        <f t="shared" si="252"/>
        <v>0.32500000000000001</v>
      </c>
      <c r="GJ86" s="311">
        <f t="shared" si="253"/>
        <v>0</v>
      </c>
      <c r="GK86" s="310">
        <f t="shared" si="254"/>
        <v>9.6153846154055497E-4</v>
      </c>
      <c r="GL86" s="311">
        <f t="shared" si="255"/>
        <v>0</v>
      </c>
      <c r="GM86" s="310">
        <f t="shared" si="256"/>
        <v>0.28075478142076454</v>
      </c>
      <c r="HB86" s="24"/>
      <c r="HC86" s="13"/>
      <c r="HD86" s="13"/>
      <c r="HE86" s="13"/>
      <c r="HF86" s="13"/>
      <c r="HG86" s="75"/>
      <c r="HH86" s="75"/>
      <c r="HI86" s="75"/>
      <c r="HJ86" s="75"/>
      <c r="HK86" s="75"/>
      <c r="HL86" s="66"/>
      <c r="HM86" s="75"/>
    </row>
    <row r="87" spans="3:221" x14ac:dyDescent="0.2">
      <c r="C87" s="426">
        <f t="shared" si="243"/>
        <v>41852</v>
      </c>
      <c r="D87" s="155">
        <f t="shared" si="244"/>
        <v>19</v>
      </c>
      <c r="E87" s="155">
        <f t="shared" si="242"/>
        <v>12307520</v>
      </c>
      <c r="F87" s="155"/>
      <c r="G87" s="438">
        <f t="shared" si="245"/>
        <v>124541.17521367522</v>
      </c>
      <c r="I87" s="444">
        <f>IF(D87="","",'Mx FORECAST'!DX25)</f>
        <v>2145882.3290598281</v>
      </c>
      <c r="J87" s="155">
        <f>IF(D87="","",'Mx FORECAST'!DP25)</f>
        <v>0</v>
      </c>
      <c r="K87" s="155">
        <f>IF(D87="","",'Mx FORECAST'!DQ25)</f>
        <v>0</v>
      </c>
      <c r="M87" s="155">
        <f>IF(D87="","",'Mx FORECAST'!DR25)</f>
        <v>0</v>
      </c>
      <c r="O87" s="155">
        <f>IF(D87="","",'Mx FORECAST'!DS25)</f>
        <v>0</v>
      </c>
      <c r="Q87" s="155">
        <f>IF(D87="","",'Mx FORECAST'!DT25)</f>
        <v>0</v>
      </c>
      <c r="S87" s="155">
        <f>IF(D87="","",'Mx FORECAST'!DU25)</f>
        <v>0</v>
      </c>
      <c r="U87" s="155">
        <f>IF(D87="","",'Mx FORECAST'!DV25)</f>
        <v>0</v>
      </c>
      <c r="W87" s="540">
        <f>IF(D87="","",'Mx FORECAST'!DY25)</f>
        <v>10161637.670940172</v>
      </c>
      <c r="X87" s="540"/>
      <c r="Y87" s="437">
        <f>IF(D87="","",'Mx FORECAST'!DZ25)</f>
        <v>0.82564461978856596</v>
      </c>
      <c r="AD87" s="155"/>
      <c r="AF87" s="155"/>
      <c r="AH87" s="155"/>
      <c r="AJ87" s="155"/>
      <c r="AK87" s="8"/>
      <c r="AL87" s="8"/>
      <c r="AM87" s="8"/>
      <c r="AN87" s="8"/>
      <c r="AO87" s="8"/>
      <c r="AP87" s="8"/>
      <c r="AQ87" s="7"/>
      <c r="AR87" s="7"/>
      <c r="AS87" s="7"/>
      <c r="AT87" s="7"/>
      <c r="AU87" s="7"/>
      <c r="AV87" s="7"/>
      <c r="AW87" s="7"/>
      <c r="AX87" s="7"/>
      <c r="AY87" s="7"/>
      <c r="AZ87" s="8"/>
      <c r="BZ87" s="9"/>
      <c r="CA87" s="9"/>
      <c r="CB87" s="9"/>
      <c r="DM87" s="44">
        <f t="shared" si="283"/>
        <v>81</v>
      </c>
      <c r="DN87" s="41">
        <f t="shared" si="257"/>
        <v>12389583.5</v>
      </c>
      <c r="DO87" s="41">
        <f t="shared" si="284"/>
        <v>125767.61271367522</v>
      </c>
      <c r="DP87" s="42">
        <f t="shared" si="258"/>
        <v>0</v>
      </c>
      <c r="DQ87" s="42">
        <f t="shared" si="259"/>
        <v>0</v>
      </c>
      <c r="DR87" s="42">
        <f t="shared" si="260"/>
        <v>0</v>
      </c>
      <c r="DS87" s="42">
        <f t="shared" si="261"/>
        <v>0</v>
      </c>
      <c r="DT87" s="42">
        <f t="shared" si="262"/>
        <v>0</v>
      </c>
      <c r="DU87" s="42">
        <f t="shared" si="263"/>
        <v>0</v>
      </c>
      <c r="DV87" s="42">
        <f t="shared" si="264"/>
        <v>0</v>
      </c>
      <c r="DW87" s="42">
        <f t="shared" si="265"/>
        <v>0</v>
      </c>
      <c r="DX87" s="42">
        <f t="shared" si="266"/>
        <v>8362483.1298076995</v>
      </c>
      <c r="DY87" s="42">
        <f>IF(DM87="",DY86,DN87-SUM($DO$6:DO87)+SUM($DP$6:DV87)-SUM($DW$6:DW87))</f>
        <v>4027100.3701923005</v>
      </c>
      <c r="DZ87" s="43">
        <f t="shared" si="285"/>
        <v>0.32503920492503241</v>
      </c>
      <c r="EA87" s="43"/>
      <c r="EB87" s="43" t="str">
        <f t="shared" si="295"/>
        <v>True</v>
      </c>
      <c r="EC87" s="41">
        <f t="shared" si="286"/>
        <v>222480</v>
      </c>
      <c r="ED87" s="41">
        <f t="shared" si="287"/>
        <v>686673.49999999988</v>
      </c>
      <c r="EE87" s="41">
        <f t="shared" si="267"/>
        <v>902280</v>
      </c>
      <c r="EF87" s="41">
        <f t="shared" si="288"/>
        <v>12360</v>
      </c>
      <c r="EG87" s="42">
        <f t="shared" si="289"/>
        <v>9537.1319444444434</v>
      </c>
      <c r="EH87" s="42">
        <f t="shared" si="290"/>
        <v>6265.8333333333321</v>
      </c>
      <c r="EI87" s="42">
        <f t="shared" si="268"/>
        <v>111240</v>
      </c>
      <c r="EJ87" s="42">
        <f t="shared" si="269"/>
        <v>85834</v>
      </c>
      <c r="EK87" s="42">
        <f t="shared" si="270"/>
        <v>507532</v>
      </c>
      <c r="EL87" s="42">
        <f>IF(DM87="","",EC87-SUM($EF$6:EF87)+SUM($DP$6:DP87))</f>
        <v>111239.99999999919</v>
      </c>
      <c r="EM87" s="42">
        <f>IF(DM87="","",ED87-SUM($EG$6:EG87)+SUM($DQ$6:DQ87))</f>
        <v>600839.31249999942</v>
      </c>
      <c r="EN87" s="42">
        <f>IF(DM87="","",EE87-SUM($EH$6:EH87)+SUM($DR$6:DR87))</f>
        <v>394747.50000000064</v>
      </c>
      <c r="EO87" s="152">
        <f t="shared" si="271"/>
        <v>0.61102260309307477</v>
      </c>
      <c r="EP87" s="43"/>
      <c r="EQ87" s="42">
        <f t="shared" si="272"/>
        <v>448050</v>
      </c>
      <c r="ER87" s="42">
        <f t="shared" si="273"/>
        <v>248100</v>
      </c>
      <c r="ES87" s="42">
        <f t="shared" si="291"/>
        <v>3733.75</v>
      </c>
      <c r="ET87" s="42">
        <f t="shared" si="292"/>
        <v>6122.9807692307695</v>
      </c>
      <c r="EU87" s="42">
        <f t="shared" si="274"/>
        <v>302434</v>
      </c>
      <c r="EV87" s="42">
        <f t="shared" si="275"/>
        <v>247861</v>
      </c>
      <c r="EW87" s="42">
        <f>IF(DM87="","",IF(DS87&gt;0,DS87,EQ87-SUM($ES$6:ES87)+SUM($DS$6:DS87)))</f>
        <v>145616.25</v>
      </c>
      <c r="EX87" s="42">
        <f>IF(DM87="","",IF(DT87&gt;0,DT87,ER87-SUM($ET$6:ET87)+SUM($DT$6:DT87)))</f>
        <v>238.5576923082117</v>
      </c>
      <c r="EY87" s="43">
        <f t="shared" si="276"/>
        <v>9.6153846154055497E-4</v>
      </c>
      <c r="EZ87" s="43">
        <f t="shared" si="277"/>
        <v>0.32500000000000001</v>
      </c>
      <c r="FA87" s="43"/>
      <c r="FB87" s="42">
        <f t="shared" si="278"/>
        <v>4700000</v>
      </c>
      <c r="FC87" s="42">
        <f t="shared" si="279"/>
        <v>5182000</v>
      </c>
      <c r="FD87" s="41">
        <f t="shared" si="293"/>
        <v>54833.333333333336</v>
      </c>
      <c r="FE87" s="41">
        <f t="shared" si="294"/>
        <v>32914.583333333336</v>
      </c>
      <c r="FF87" s="42">
        <f t="shared" si="280"/>
        <v>4441500</v>
      </c>
      <c r="FG87" s="42">
        <f t="shared" si="281"/>
        <v>2666081</v>
      </c>
      <c r="FH87" s="42">
        <f>IF(DM87="","",IF(DU87&gt;0,DU87,FB87-SUM($FD$6:FD87)+SUM($DU$6:DU87)))</f>
        <v>258499.99999999627</v>
      </c>
      <c r="FI87" s="42">
        <f>IF(DM87="","",FC87-SUM($FE$6:FE87)+SUM($DV$6:DV87)-SUM($DW$6:DW87))</f>
        <v>2515918.7499999991</v>
      </c>
      <c r="FJ87" s="152">
        <f t="shared" si="282"/>
        <v>0.28075478142076454</v>
      </c>
      <c r="FN87" s="8"/>
      <c r="FO87" s="8"/>
      <c r="FP87" s="8"/>
      <c r="FQ87" s="8"/>
      <c r="FR87" s="8"/>
      <c r="FS87" s="8"/>
      <c r="FT87" s="8"/>
      <c r="FU87" s="8"/>
      <c r="GC87" s="68">
        <f t="shared" si="246"/>
        <v>82</v>
      </c>
      <c r="GD87" s="78">
        <f t="shared" si="247"/>
        <v>248100</v>
      </c>
      <c r="GE87" s="309">
        <f t="shared" si="248"/>
        <v>0.33491301442688726</v>
      </c>
      <c r="GF87" s="78">
        <f t="shared" si="249"/>
        <v>0</v>
      </c>
      <c r="GG87" s="310">
        <f t="shared" si="250"/>
        <v>0.59547526708665899</v>
      </c>
      <c r="GH87" s="78">
        <f t="shared" si="251"/>
        <v>0</v>
      </c>
      <c r="GI87" s="310">
        <f t="shared" si="252"/>
        <v>0.31666666666666665</v>
      </c>
      <c r="GJ87" s="311">
        <f t="shared" si="253"/>
        <v>248100</v>
      </c>
      <c r="GK87" s="310">
        <f t="shared" si="254"/>
        <v>1</v>
      </c>
      <c r="GL87" s="311">
        <f t="shared" si="255"/>
        <v>0</v>
      </c>
      <c r="GM87" s="310">
        <f t="shared" si="256"/>
        <v>0.27187521082102095</v>
      </c>
      <c r="HB87" s="24"/>
      <c r="HC87" s="13"/>
      <c r="HD87" s="13"/>
      <c r="HE87" s="13"/>
      <c r="HF87" s="13"/>
      <c r="HG87" s="75"/>
      <c r="HH87" s="75"/>
      <c r="HI87" s="75"/>
      <c r="HJ87" s="75"/>
      <c r="HK87" s="75"/>
      <c r="HL87" s="66"/>
      <c r="HM87" s="75"/>
    </row>
    <row r="88" spans="3:221" x14ac:dyDescent="0.2">
      <c r="C88" s="426">
        <f t="shared" si="243"/>
        <v>41883</v>
      </c>
      <c r="D88" s="155">
        <f t="shared" si="244"/>
        <v>20</v>
      </c>
      <c r="E88" s="155">
        <f t="shared" si="242"/>
        <v>12307520</v>
      </c>
      <c r="F88" s="155"/>
      <c r="G88" s="438">
        <f t="shared" si="245"/>
        <v>124541.17521367522</v>
      </c>
      <c r="I88" s="444">
        <f>IF(D88="","",'Mx FORECAST'!DX26)</f>
        <v>2270423.504273504</v>
      </c>
      <c r="J88" s="155">
        <f>IF(D88="","",'Mx FORECAST'!DP26)</f>
        <v>0</v>
      </c>
      <c r="K88" s="155">
        <f>IF(D88="","",'Mx FORECAST'!DQ26)</f>
        <v>0</v>
      </c>
      <c r="M88" s="155">
        <f>IF(D88="","",'Mx FORECAST'!DR26)</f>
        <v>0</v>
      </c>
      <c r="O88" s="155">
        <f>IF(D88="","",'Mx FORECAST'!DS26)</f>
        <v>0</v>
      </c>
      <c r="Q88" s="155">
        <f>IF(D88="","",'Mx FORECAST'!DT26)</f>
        <v>0</v>
      </c>
      <c r="S88" s="155">
        <f>IF(D88="","",'Mx FORECAST'!DU26)</f>
        <v>0</v>
      </c>
      <c r="U88" s="155">
        <f>IF(D88="","",'Mx FORECAST'!DV26)</f>
        <v>0</v>
      </c>
      <c r="W88" s="540">
        <f>IF(D88="","",'Mx FORECAST'!DY26)</f>
        <v>10037096.495726496</v>
      </c>
      <c r="X88" s="540"/>
      <c r="Y88" s="437">
        <f>IF(D88="","",'Mx FORECAST'!DZ26)</f>
        <v>0.81552550763488474</v>
      </c>
      <c r="AD88" s="155"/>
      <c r="AF88" s="155"/>
      <c r="AH88" s="155"/>
      <c r="AJ88" s="155"/>
      <c r="AK88" s="8"/>
      <c r="AL88" s="8"/>
      <c r="AM88" s="8"/>
      <c r="AN88" s="8"/>
      <c r="AO88" s="8"/>
      <c r="AP88" s="8"/>
      <c r="AQ88" s="7"/>
      <c r="AR88" s="7"/>
      <c r="AS88" s="7"/>
      <c r="AT88" s="7"/>
      <c r="AU88" s="7"/>
      <c r="AV88" s="7"/>
      <c r="AW88" s="7"/>
      <c r="AX88" s="7"/>
      <c r="AY88" s="7"/>
      <c r="AZ88" s="8"/>
      <c r="BZ88" s="9"/>
      <c r="CA88" s="9"/>
      <c r="CB88" s="9"/>
      <c r="DM88" s="44">
        <f t="shared" si="283"/>
        <v>82</v>
      </c>
      <c r="DN88" s="41">
        <f t="shared" si="257"/>
        <v>12389583.5</v>
      </c>
      <c r="DO88" s="41">
        <f t="shared" si="284"/>
        <v>125767.61271367522</v>
      </c>
      <c r="DP88" s="42">
        <f t="shared" si="258"/>
        <v>0</v>
      </c>
      <c r="DQ88" s="42">
        <f t="shared" si="259"/>
        <v>0</v>
      </c>
      <c r="DR88" s="42">
        <f t="shared" si="260"/>
        <v>0</v>
      </c>
      <c r="DS88" s="42">
        <f t="shared" si="261"/>
        <v>0</v>
      </c>
      <c r="DT88" s="42">
        <f t="shared" si="262"/>
        <v>248100</v>
      </c>
      <c r="DU88" s="42">
        <f t="shared" si="263"/>
        <v>0</v>
      </c>
      <c r="DV88" s="42">
        <f t="shared" si="264"/>
        <v>0</v>
      </c>
      <c r="DW88" s="42">
        <f t="shared" si="265"/>
        <v>0</v>
      </c>
      <c r="DX88" s="42">
        <f t="shared" si="266"/>
        <v>8240150.7425213754</v>
      </c>
      <c r="DY88" s="42">
        <f>IF(DM88="",DY87,DN88-SUM($DO$6:DO88)+SUM($DP$6:DV88)-SUM($DW$6:DW88))</f>
        <v>4149432.7574786246</v>
      </c>
      <c r="DZ88" s="43">
        <f t="shared" si="285"/>
        <v>0.33491301442688726</v>
      </c>
      <c r="EA88" s="43"/>
      <c r="EB88" s="43" t="str">
        <f t="shared" si="295"/>
        <v>True</v>
      </c>
      <c r="EC88" s="41">
        <f t="shared" si="286"/>
        <v>222480</v>
      </c>
      <c r="ED88" s="41">
        <f t="shared" si="287"/>
        <v>686673.49999999988</v>
      </c>
      <c r="EE88" s="41">
        <f t="shared" si="267"/>
        <v>902280</v>
      </c>
      <c r="EF88" s="41">
        <f t="shared" si="288"/>
        <v>12360</v>
      </c>
      <c r="EG88" s="42">
        <f t="shared" si="289"/>
        <v>9537.1319444444434</v>
      </c>
      <c r="EH88" s="42">
        <f t="shared" si="290"/>
        <v>6265.8333333333321</v>
      </c>
      <c r="EI88" s="42">
        <f t="shared" si="268"/>
        <v>123600</v>
      </c>
      <c r="EJ88" s="42">
        <f t="shared" si="269"/>
        <v>95371</v>
      </c>
      <c r="EK88" s="42">
        <f t="shared" si="270"/>
        <v>513798</v>
      </c>
      <c r="EL88" s="42">
        <f>IF(DM88="","",EC88-SUM($EF$6:EF88)+SUM($DP$6:DP88))</f>
        <v>98879.999999999185</v>
      </c>
      <c r="EM88" s="42">
        <f>IF(DM88="","",ED88-SUM($EG$6:EG88)+SUM($DQ$6:DQ88))</f>
        <v>591302.18055555492</v>
      </c>
      <c r="EN88" s="42">
        <f>IF(DM88="","",EE88-SUM($EH$6:EH88)+SUM($DR$6:DR88))</f>
        <v>388481.66666666733</v>
      </c>
      <c r="EO88" s="152">
        <f t="shared" si="271"/>
        <v>0.59547526708665899</v>
      </c>
      <c r="EP88" s="43"/>
      <c r="EQ88" s="42">
        <f t="shared" si="272"/>
        <v>448050</v>
      </c>
      <c r="ER88" s="42">
        <f t="shared" si="273"/>
        <v>248100</v>
      </c>
      <c r="ES88" s="42">
        <f t="shared" si="291"/>
        <v>3733.75</v>
      </c>
      <c r="ET88" s="42">
        <f t="shared" si="292"/>
        <v>6122.9807692307695</v>
      </c>
      <c r="EU88" s="42">
        <f t="shared" si="274"/>
        <v>306168</v>
      </c>
      <c r="EV88" s="42">
        <f t="shared" si="275"/>
        <v>0</v>
      </c>
      <c r="EW88" s="42">
        <f>IF(DM88="","",IF(DS88&gt;0,DS88,EQ88-SUM($ES$6:ES88)+SUM($DS$6:DS88)))</f>
        <v>141882.5</v>
      </c>
      <c r="EX88" s="42">
        <f>IF(DM88="","",IF(DT88&gt;0,DT88,ER88-SUM($ET$6:ET88)+SUM($DT$6:DT88)))</f>
        <v>248100</v>
      </c>
      <c r="EY88" s="43">
        <f t="shared" si="276"/>
        <v>1</v>
      </c>
      <c r="EZ88" s="43">
        <f t="shared" si="277"/>
        <v>0.31666666666666665</v>
      </c>
      <c r="FA88" s="43"/>
      <c r="FB88" s="42">
        <f t="shared" si="278"/>
        <v>4700000</v>
      </c>
      <c r="FC88" s="42">
        <f t="shared" si="279"/>
        <v>5182000</v>
      </c>
      <c r="FD88" s="41">
        <f t="shared" si="293"/>
        <v>54833.333333333336</v>
      </c>
      <c r="FE88" s="41">
        <f t="shared" si="294"/>
        <v>32914.583333333336</v>
      </c>
      <c r="FF88" s="42">
        <f t="shared" si="280"/>
        <v>4496333</v>
      </c>
      <c r="FG88" s="42">
        <f t="shared" si="281"/>
        <v>2698996</v>
      </c>
      <c r="FH88" s="42">
        <f>IF(DM88="","",IF(DU88&gt;0,DU88,FB88-SUM($FD$6:FD88)+SUM($DU$6:DU88)))</f>
        <v>203666.66666666325</v>
      </c>
      <c r="FI88" s="42">
        <f>IF(DM88="","",FC88-SUM($FE$6:FE88)+SUM($DV$6:DV88)-SUM($DW$6:DW88))</f>
        <v>2483004.1666666656</v>
      </c>
      <c r="FJ88" s="152">
        <f t="shared" si="282"/>
        <v>0.27187521082102095</v>
      </c>
      <c r="FN88" s="8"/>
      <c r="FO88" s="8"/>
      <c r="FP88" s="8"/>
      <c r="FQ88" s="8"/>
      <c r="FR88" s="8"/>
      <c r="FS88" s="8"/>
      <c r="FT88" s="8"/>
      <c r="FU88" s="8"/>
      <c r="GC88" s="68">
        <f t="shared" si="246"/>
        <v>83</v>
      </c>
      <c r="GD88" s="78">
        <f t="shared" si="247"/>
        <v>0</v>
      </c>
      <c r="GE88" s="309">
        <f t="shared" si="248"/>
        <v>0.32476193770072648</v>
      </c>
      <c r="GF88" s="78">
        <f t="shared" si="249"/>
        <v>0</v>
      </c>
      <c r="GG88" s="310">
        <f t="shared" si="250"/>
        <v>0.5799279310802431</v>
      </c>
      <c r="GH88" s="78">
        <f t="shared" si="251"/>
        <v>0</v>
      </c>
      <c r="GI88" s="310">
        <f t="shared" si="252"/>
        <v>0.30833333333333335</v>
      </c>
      <c r="GJ88" s="311">
        <f t="shared" si="253"/>
        <v>0</v>
      </c>
      <c r="GK88" s="310">
        <f t="shared" si="254"/>
        <v>0.95160256410256638</v>
      </c>
      <c r="GL88" s="311">
        <f t="shared" si="255"/>
        <v>0</v>
      </c>
      <c r="GM88" s="310">
        <f t="shared" si="256"/>
        <v>0.2629956402212773</v>
      </c>
      <c r="HB88" s="24"/>
      <c r="HC88" s="13"/>
      <c r="HD88" s="13"/>
      <c r="HE88" s="13"/>
      <c r="HF88" s="13"/>
      <c r="HG88" s="75"/>
      <c r="HH88" s="75"/>
      <c r="HI88" s="75"/>
      <c r="HJ88" s="75"/>
      <c r="HK88" s="75"/>
      <c r="HL88" s="66"/>
      <c r="HM88" s="75"/>
    </row>
    <row r="89" spans="3:221" x14ac:dyDescent="0.2">
      <c r="C89" s="426">
        <f t="shared" si="243"/>
        <v>41913</v>
      </c>
      <c r="D89" s="155">
        <f t="shared" si="244"/>
        <v>21</v>
      </c>
      <c r="E89" s="155">
        <f t="shared" si="242"/>
        <v>12307520</v>
      </c>
      <c r="F89" s="155"/>
      <c r="G89" s="438">
        <f t="shared" si="245"/>
        <v>124541.17521367522</v>
      </c>
      <c r="I89" s="444">
        <f>IF(D89="","",'Mx FORECAST'!DX27)</f>
        <v>2394964.67948718</v>
      </c>
      <c r="J89" s="155">
        <f>IF(D89="","",'Mx FORECAST'!DP27)</f>
        <v>0</v>
      </c>
      <c r="K89" s="155">
        <f>IF(D89="","",'Mx FORECAST'!DQ27)</f>
        <v>0</v>
      </c>
      <c r="M89" s="155">
        <f>IF(D89="","",'Mx FORECAST'!DR27)</f>
        <v>0</v>
      </c>
      <c r="O89" s="155">
        <f>IF(D89="","",'Mx FORECAST'!DS27)</f>
        <v>0</v>
      </c>
      <c r="Q89" s="155">
        <f>IF(D89="","",'Mx FORECAST'!DT27)</f>
        <v>0</v>
      </c>
      <c r="S89" s="155">
        <f>IF(D89="","",'Mx FORECAST'!DU27)</f>
        <v>0</v>
      </c>
      <c r="U89" s="155">
        <f>IF(D89="","",'Mx FORECAST'!DV27)</f>
        <v>0</v>
      </c>
      <c r="W89" s="540">
        <f>IF(D89="","",'Mx FORECAST'!DY27)</f>
        <v>9912555.32051282</v>
      </c>
      <c r="X89" s="540"/>
      <c r="Y89" s="437">
        <f>IF(D89="","",'Mx FORECAST'!DZ27)</f>
        <v>0.80540639548120341</v>
      </c>
      <c r="AD89" s="155"/>
      <c r="AF89" s="155"/>
      <c r="AH89" s="155"/>
      <c r="AJ89" s="155"/>
      <c r="AK89" s="8"/>
      <c r="AL89" s="8"/>
      <c r="AM89" s="8"/>
      <c r="AN89" s="8"/>
      <c r="AO89" s="8"/>
      <c r="AP89" s="8"/>
      <c r="AQ89" s="7"/>
      <c r="AR89" s="7"/>
      <c r="AS89" s="7"/>
      <c r="AT89" s="7"/>
      <c r="AU89" s="7"/>
      <c r="AV89" s="7"/>
      <c r="AW89" s="7"/>
      <c r="AX89" s="7"/>
      <c r="AY89" s="7"/>
      <c r="AZ89" s="8"/>
      <c r="BZ89" s="9"/>
      <c r="CA89" s="9"/>
      <c r="CB89" s="9"/>
      <c r="DM89" s="44">
        <f t="shared" si="283"/>
        <v>83</v>
      </c>
      <c r="DN89" s="41">
        <f t="shared" si="257"/>
        <v>12389583.5</v>
      </c>
      <c r="DO89" s="41">
        <f t="shared" si="284"/>
        <v>125767.61271367522</v>
      </c>
      <c r="DP89" s="42">
        <f t="shared" si="258"/>
        <v>0</v>
      </c>
      <c r="DQ89" s="42">
        <f t="shared" si="259"/>
        <v>0</v>
      </c>
      <c r="DR89" s="42">
        <f t="shared" si="260"/>
        <v>0</v>
      </c>
      <c r="DS89" s="42">
        <f t="shared" si="261"/>
        <v>0</v>
      </c>
      <c r="DT89" s="42">
        <f t="shared" si="262"/>
        <v>0</v>
      </c>
      <c r="DU89" s="42">
        <f t="shared" si="263"/>
        <v>0</v>
      </c>
      <c r="DV89" s="42">
        <f t="shared" si="264"/>
        <v>0</v>
      </c>
      <c r="DW89" s="42">
        <f t="shared" si="265"/>
        <v>0</v>
      </c>
      <c r="DX89" s="42">
        <f t="shared" si="266"/>
        <v>8365918.3552350514</v>
      </c>
      <c r="DY89" s="42">
        <f>IF(DM89="",DY88,DN89-SUM($DO$6:DO89)+SUM($DP$6:DV89)-SUM($DW$6:DW89))</f>
        <v>4023665.1447649486</v>
      </c>
      <c r="DZ89" s="43">
        <f t="shared" si="285"/>
        <v>0.32476193770072648</v>
      </c>
      <c r="EA89" s="43"/>
      <c r="EB89" s="43" t="str">
        <f t="shared" si="295"/>
        <v>True</v>
      </c>
      <c r="EC89" s="41">
        <f t="shared" si="286"/>
        <v>222480</v>
      </c>
      <c r="ED89" s="41">
        <f t="shared" si="287"/>
        <v>686673.49999999988</v>
      </c>
      <c r="EE89" s="41">
        <f t="shared" si="267"/>
        <v>902280</v>
      </c>
      <c r="EF89" s="41">
        <f t="shared" si="288"/>
        <v>12360</v>
      </c>
      <c r="EG89" s="42">
        <f t="shared" si="289"/>
        <v>9537.1319444444434</v>
      </c>
      <c r="EH89" s="42">
        <f t="shared" si="290"/>
        <v>6265.8333333333321</v>
      </c>
      <c r="EI89" s="42">
        <f t="shared" si="268"/>
        <v>135960</v>
      </c>
      <c r="EJ89" s="42">
        <f t="shared" si="269"/>
        <v>104908</v>
      </c>
      <c r="EK89" s="42">
        <f t="shared" si="270"/>
        <v>520064</v>
      </c>
      <c r="EL89" s="42">
        <f>IF(DM89="","",EC89-SUM($EF$6:EF89)+SUM($DP$6:DP89))</f>
        <v>86519.999999999185</v>
      </c>
      <c r="EM89" s="42">
        <f>IF(DM89="","",ED89-SUM($EG$6:EG89)+SUM($DQ$6:DQ89))</f>
        <v>581765.04861111043</v>
      </c>
      <c r="EN89" s="42">
        <f>IF(DM89="","",EE89-SUM($EH$6:EH89)+SUM($DR$6:DR89))</f>
        <v>382215.83333333401</v>
      </c>
      <c r="EO89" s="152">
        <f t="shared" si="271"/>
        <v>0.5799279310802431</v>
      </c>
      <c r="EP89" s="43"/>
      <c r="EQ89" s="42">
        <f t="shared" si="272"/>
        <v>448050</v>
      </c>
      <c r="ER89" s="42">
        <f t="shared" si="273"/>
        <v>248100</v>
      </c>
      <c r="ES89" s="42">
        <f t="shared" si="291"/>
        <v>3733.75</v>
      </c>
      <c r="ET89" s="42">
        <f t="shared" si="292"/>
        <v>6122.9807692307695</v>
      </c>
      <c r="EU89" s="42">
        <f t="shared" si="274"/>
        <v>309901</v>
      </c>
      <c r="EV89" s="42">
        <f t="shared" si="275"/>
        <v>12007</v>
      </c>
      <c r="EW89" s="42">
        <f>IF(DM89="","",IF(DS89&gt;0,DS89,EQ89-SUM($ES$6:ES89)+SUM($DS$6:DS89)))</f>
        <v>138148.75</v>
      </c>
      <c r="EX89" s="42">
        <f>IF(DM89="","",IF(DT89&gt;0,DT89,ER89-SUM($ET$6:ET89)+SUM($DT$6:DT89)))</f>
        <v>236092.59615384671</v>
      </c>
      <c r="EY89" s="43">
        <f t="shared" si="276"/>
        <v>0.95160256410256638</v>
      </c>
      <c r="EZ89" s="43">
        <f t="shared" si="277"/>
        <v>0.30833333333333335</v>
      </c>
      <c r="FA89" s="43"/>
      <c r="FB89" s="42">
        <f t="shared" si="278"/>
        <v>4700000</v>
      </c>
      <c r="FC89" s="42">
        <f t="shared" si="279"/>
        <v>5182000</v>
      </c>
      <c r="FD89" s="41">
        <f t="shared" si="293"/>
        <v>54833.333333333336</v>
      </c>
      <c r="FE89" s="41">
        <f t="shared" si="294"/>
        <v>32914.583333333336</v>
      </c>
      <c r="FF89" s="42">
        <f t="shared" si="280"/>
        <v>4551167</v>
      </c>
      <c r="FG89" s="42">
        <f t="shared" si="281"/>
        <v>2731910</v>
      </c>
      <c r="FH89" s="42">
        <f>IF(DM89="","",IF(DU89&gt;0,DU89,FB89-SUM($FD$6:FD89)+SUM($DU$6:DU89)))</f>
        <v>148833.33333333023</v>
      </c>
      <c r="FI89" s="42">
        <f>IF(DM89="","",FC89-SUM($FE$6:FE89)+SUM($DV$6:DV89)-SUM($DW$6:DW89))</f>
        <v>2450089.5833333321</v>
      </c>
      <c r="FJ89" s="152">
        <f t="shared" si="282"/>
        <v>0.2629956402212773</v>
      </c>
      <c r="FN89" s="8"/>
      <c r="FO89" s="8"/>
      <c r="FP89" s="8"/>
      <c r="FQ89" s="8"/>
      <c r="FR89" s="8"/>
      <c r="FS89" s="8"/>
      <c r="FT89" s="8"/>
      <c r="FU89" s="8"/>
      <c r="GC89" s="68">
        <f t="shared" si="246"/>
        <v>84</v>
      </c>
      <c r="GD89" s="78">
        <f t="shared" si="247"/>
        <v>0</v>
      </c>
      <c r="GE89" s="309">
        <f t="shared" si="248"/>
        <v>0.31461086097456564</v>
      </c>
      <c r="GF89" s="78">
        <f t="shared" si="249"/>
        <v>0</v>
      </c>
      <c r="GG89" s="310">
        <f t="shared" si="250"/>
        <v>0.56438059507382732</v>
      </c>
      <c r="GH89" s="78">
        <f t="shared" si="251"/>
        <v>0</v>
      </c>
      <c r="GI89" s="310">
        <f t="shared" si="252"/>
        <v>0.3</v>
      </c>
      <c r="GJ89" s="311">
        <f t="shared" si="253"/>
        <v>0</v>
      </c>
      <c r="GK89" s="310">
        <f t="shared" si="254"/>
        <v>0.92692307692307918</v>
      </c>
      <c r="GL89" s="311">
        <f t="shared" si="255"/>
        <v>0</v>
      </c>
      <c r="GM89" s="310">
        <f t="shared" si="256"/>
        <v>0.25411606962153366</v>
      </c>
      <c r="HB89" s="24"/>
      <c r="HC89" s="13"/>
      <c r="HD89" s="13"/>
      <c r="HE89" s="13"/>
      <c r="HF89" s="13"/>
      <c r="HG89" s="75"/>
      <c r="HH89" s="75"/>
      <c r="HI89" s="75"/>
      <c r="HJ89" s="75"/>
      <c r="HK89" s="66"/>
      <c r="HL89" s="75"/>
      <c r="HM89" s="75"/>
    </row>
    <row r="90" spans="3:221" x14ac:dyDescent="0.2">
      <c r="C90" s="426">
        <f t="shared" si="243"/>
        <v>41944</v>
      </c>
      <c r="D90" s="155">
        <f t="shared" si="244"/>
        <v>22</v>
      </c>
      <c r="E90" s="155">
        <f t="shared" si="242"/>
        <v>12307520</v>
      </c>
      <c r="F90" s="155"/>
      <c r="G90" s="438">
        <f t="shared" si="245"/>
        <v>124541.17521367522</v>
      </c>
      <c r="I90" s="444">
        <f>IF(D90="","",'Mx FORECAST'!DX28)</f>
        <v>2519505.854700854</v>
      </c>
      <c r="J90" s="155">
        <f>IF(D90="","",'Mx FORECAST'!DP28)</f>
        <v>0</v>
      </c>
      <c r="K90" s="155">
        <f>IF(D90="","",'Mx FORECAST'!DQ28)</f>
        <v>0</v>
      </c>
      <c r="M90" s="155">
        <f>IF(D90="","",'Mx FORECAST'!DR28)</f>
        <v>0</v>
      </c>
      <c r="O90" s="155">
        <f>IF(D90="","",'Mx FORECAST'!DS28)</f>
        <v>0</v>
      </c>
      <c r="Q90" s="155">
        <f>IF(D90="","",'Mx FORECAST'!DT28)</f>
        <v>0</v>
      </c>
      <c r="S90" s="155">
        <f>IF(D90="","",'Mx FORECAST'!DU28)</f>
        <v>0</v>
      </c>
      <c r="U90" s="155">
        <f>IF(D90="","",'Mx FORECAST'!DV28)</f>
        <v>0</v>
      </c>
      <c r="W90" s="540">
        <f>IF(D90="","",'Mx FORECAST'!DY28)</f>
        <v>9788014.145299146</v>
      </c>
      <c r="X90" s="540"/>
      <c r="Y90" s="437">
        <f>IF(D90="","",'Mx FORECAST'!DZ28)</f>
        <v>0.79528728332752219</v>
      </c>
      <c r="AD90" s="155"/>
      <c r="AF90" s="155"/>
      <c r="AH90" s="155"/>
      <c r="AJ90" s="155"/>
      <c r="AK90" s="8"/>
      <c r="AL90" s="8"/>
      <c r="AM90" s="8"/>
      <c r="AN90" s="8"/>
      <c r="AO90" s="8"/>
      <c r="AP90" s="8"/>
      <c r="AQ90" s="7"/>
      <c r="AR90" s="7"/>
      <c r="AS90" s="7"/>
      <c r="AT90" s="7"/>
      <c r="AU90" s="7"/>
      <c r="AV90" s="7"/>
      <c r="AW90" s="7"/>
      <c r="AX90" s="7"/>
      <c r="AY90" s="7"/>
      <c r="AZ90" s="8"/>
      <c r="BZ90" s="9"/>
      <c r="CA90" s="9"/>
      <c r="CB90" s="9"/>
      <c r="DM90" s="44">
        <f t="shared" si="283"/>
        <v>84</v>
      </c>
      <c r="DN90" s="41">
        <f t="shared" si="257"/>
        <v>12389583.5</v>
      </c>
      <c r="DO90" s="41">
        <f t="shared" si="284"/>
        <v>125767.61271367522</v>
      </c>
      <c r="DP90" s="42">
        <f t="shared" si="258"/>
        <v>0</v>
      </c>
      <c r="DQ90" s="42">
        <f t="shared" si="259"/>
        <v>0</v>
      </c>
      <c r="DR90" s="42">
        <f t="shared" si="260"/>
        <v>0</v>
      </c>
      <c r="DS90" s="42">
        <f t="shared" si="261"/>
        <v>0</v>
      </c>
      <c r="DT90" s="42">
        <f t="shared" si="262"/>
        <v>0</v>
      </c>
      <c r="DU90" s="42">
        <f t="shared" si="263"/>
        <v>0</v>
      </c>
      <c r="DV90" s="42">
        <f t="shared" si="264"/>
        <v>0</v>
      </c>
      <c r="DW90" s="42">
        <f t="shared" si="265"/>
        <v>0</v>
      </c>
      <c r="DX90" s="42">
        <f t="shared" si="266"/>
        <v>8491685.9679487273</v>
      </c>
      <c r="DY90" s="42">
        <f>IF(DM90="",DY89,DN90-SUM($DO$6:DO90)+SUM($DP$6:DV90)-SUM($DW$6:DW90))</f>
        <v>3897897.5320512727</v>
      </c>
      <c r="DZ90" s="43">
        <f t="shared" si="285"/>
        <v>0.31461086097456564</v>
      </c>
      <c r="EA90" s="43"/>
      <c r="EB90" s="43" t="str">
        <f t="shared" si="295"/>
        <v>True</v>
      </c>
      <c r="EC90" s="41">
        <f t="shared" si="286"/>
        <v>222480</v>
      </c>
      <c r="ED90" s="41">
        <f t="shared" si="287"/>
        <v>686673.49999999988</v>
      </c>
      <c r="EE90" s="41">
        <f t="shared" si="267"/>
        <v>902280</v>
      </c>
      <c r="EF90" s="41">
        <f t="shared" si="288"/>
        <v>12360</v>
      </c>
      <c r="EG90" s="42">
        <f t="shared" si="289"/>
        <v>9537.1319444444434</v>
      </c>
      <c r="EH90" s="42">
        <f t="shared" si="290"/>
        <v>6265.8333333333321</v>
      </c>
      <c r="EI90" s="42">
        <f t="shared" si="268"/>
        <v>148320</v>
      </c>
      <c r="EJ90" s="42">
        <f t="shared" si="269"/>
        <v>114446</v>
      </c>
      <c r="EK90" s="42">
        <f t="shared" si="270"/>
        <v>526330</v>
      </c>
      <c r="EL90" s="42">
        <f>IF(DM90="","",EC90-SUM($EF$6:EF90)+SUM($DP$6:DP90))</f>
        <v>74159.999999999185</v>
      </c>
      <c r="EM90" s="42">
        <f>IF(DM90="","",ED90-SUM($EG$6:EG90)+SUM($DQ$6:DQ90))</f>
        <v>572227.91666666593</v>
      </c>
      <c r="EN90" s="42">
        <f>IF(DM90="","",EE90-SUM($EH$6:EH90)+SUM($DR$6:DR90))</f>
        <v>375950.0000000007</v>
      </c>
      <c r="EO90" s="152">
        <f t="shared" si="271"/>
        <v>0.56438059507382732</v>
      </c>
      <c r="EP90" s="43"/>
      <c r="EQ90" s="42">
        <f t="shared" si="272"/>
        <v>448050</v>
      </c>
      <c r="ER90" s="42">
        <f t="shared" si="273"/>
        <v>248100</v>
      </c>
      <c r="ES90" s="42">
        <f t="shared" si="291"/>
        <v>3733.75</v>
      </c>
      <c r="ET90" s="42">
        <f t="shared" si="292"/>
        <v>6122.9807692307695</v>
      </c>
      <c r="EU90" s="42">
        <f t="shared" si="274"/>
        <v>313635</v>
      </c>
      <c r="EV90" s="42">
        <f t="shared" si="275"/>
        <v>18130</v>
      </c>
      <c r="EW90" s="42">
        <f>IF(DM90="","",IF(DS90&gt;0,DS90,EQ90-SUM($ES$6:ES90)+SUM($DS$6:DS90)))</f>
        <v>134415</v>
      </c>
      <c r="EX90" s="42">
        <f>IF(DM90="","",IF(DT90&gt;0,DT90,ER90-SUM($ET$6:ET90)+SUM($DT$6:DT90)))</f>
        <v>229969.61538461596</v>
      </c>
      <c r="EY90" s="43">
        <f t="shared" si="276"/>
        <v>0.92692307692307918</v>
      </c>
      <c r="EZ90" s="43">
        <f t="shared" si="277"/>
        <v>0.3</v>
      </c>
      <c r="FA90" s="43"/>
      <c r="FB90" s="42">
        <f t="shared" si="278"/>
        <v>4700000</v>
      </c>
      <c r="FC90" s="42">
        <f t="shared" si="279"/>
        <v>5182000</v>
      </c>
      <c r="FD90" s="41">
        <f t="shared" si="293"/>
        <v>54833.333333333336</v>
      </c>
      <c r="FE90" s="41">
        <f t="shared" si="294"/>
        <v>32914.583333333336</v>
      </c>
      <c r="FF90" s="42">
        <f t="shared" si="280"/>
        <v>4606000</v>
      </c>
      <c r="FG90" s="42">
        <f t="shared" si="281"/>
        <v>2764825</v>
      </c>
      <c r="FH90" s="42">
        <f>IF(DM90="","",IF(DU90&gt;0,DU90,FB90-SUM($FD$6:FD90)+SUM($DU$6:DU90)))</f>
        <v>93999.999999997206</v>
      </c>
      <c r="FI90" s="42">
        <f>IF(DM90="","",FC90-SUM($FE$6:FE90)+SUM($DV$6:DV90)-SUM($DW$6:DW90))</f>
        <v>2417174.9999999986</v>
      </c>
      <c r="FJ90" s="152">
        <f t="shared" si="282"/>
        <v>0.25411606962153366</v>
      </c>
      <c r="FN90" s="8"/>
      <c r="FO90" s="8"/>
      <c r="FP90" s="8"/>
      <c r="FQ90" s="8"/>
      <c r="FR90" s="8"/>
      <c r="FS90" s="8"/>
      <c r="FT90" s="8"/>
      <c r="FU90" s="8"/>
      <c r="GC90" s="68">
        <f t="shared" si="246"/>
        <v>85</v>
      </c>
      <c r="GD90" s="78">
        <f t="shared" si="247"/>
        <v>7307280</v>
      </c>
      <c r="GE90" s="309">
        <f t="shared" si="248"/>
        <v>0.81532683639749448</v>
      </c>
      <c r="GF90" s="78">
        <f t="shared" si="249"/>
        <v>0</v>
      </c>
      <c r="GG90" s="310">
        <f t="shared" si="250"/>
        <v>0.54883325906741154</v>
      </c>
      <c r="GH90" s="78">
        <f t="shared" si="251"/>
        <v>0</v>
      </c>
      <c r="GI90" s="310">
        <f t="shared" si="252"/>
        <v>0.29166666666666669</v>
      </c>
      <c r="GJ90" s="311">
        <f t="shared" si="253"/>
        <v>0</v>
      </c>
      <c r="GK90" s="310">
        <f t="shared" si="254"/>
        <v>0.90224358974359209</v>
      </c>
      <c r="GL90" s="311">
        <f t="shared" si="255"/>
        <v>7307280</v>
      </c>
      <c r="GM90" s="310">
        <f t="shared" si="256"/>
        <v>0.88177397456655171</v>
      </c>
      <c r="HB90" s="24"/>
      <c r="HC90" s="13"/>
      <c r="HD90" s="13"/>
      <c r="HE90" s="13"/>
      <c r="HF90" s="13"/>
      <c r="HG90" s="75"/>
      <c r="HH90" s="75"/>
      <c r="HI90" s="75"/>
      <c r="HJ90" s="75"/>
      <c r="HK90" s="66"/>
      <c r="HL90" s="75"/>
      <c r="HM90" s="75"/>
    </row>
    <row r="91" spans="3:221" x14ac:dyDescent="0.2">
      <c r="C91" s="426">
        <f t="shared" si="243"/>
        <v>41974</v>
      </c>
      <c r="D91" s="155">
        <f t="shared" si="244"/>
        <v>23</v>
      </c>
      <c r="E91" s="155">
        <f t="shared" si="242"/>
        <v>12307520</v>
      </c>
      <c r="F91" s="155"/>
      <c r="G91" s="438">
        <f t="shared" si="245"/>
        <v>124541.17521367522</v>
      </c>
      <c r="I91" s="444">
        <f>IF(D91="","",'Mx FORECAST'!DX29)</f>
        <v>2644047.0299145281</v>
      </c>
      <c r="J91" s="155">
        <f>IF(D91="","",'Mx FORECAST'!DP29)</f>
        <v>0</v>
      </c>
      <c r="K91" s="155">
        <f>IF(D91="","",'Mx FORECAST'!DQ29)</f>
        <v>0</v>
      </c>
      <c r="M91" s="155">
        <f>IF(D91="","",'Mx FORECAST'!DR29)</f>
        <v>0</v>
      </c>
      <c r="O91" s="155">
        <f>IF(D91="","",'Mx FORECAST'!DS29)</f>
        <v>0</v>
      </c>
      <c r="Q91" s="155">
        <f>IF(D91="","",'Mx FORECAST'!DT29)</f>
        <v>0</v>
      </c>
      <c r="S91" s="155">
        <f>IF(D91="","",'Mx FORECAST'!DU29)</f>
        <v>0</v>
      </c>
      <c r="U91" s="155">
        <f>IF(D91="","",'Mx FORECAST'!DV29)</f>
        <v>0</v>
      </c>
      <c r="W91" s="540">
        <f>IF(D91="","",'Mx FORECAST'!DY29)</f>
        <v>9663472.9700854719</v>
      </c>
      <c r="X91" s="540"/>
      <c r="Y91" s="437">
        <f>IF(D91="","",'Mx FORECAST'!DZ29)</f>
        <v>0.78516817117384108</v>
      </c>
      <c r="AD91" s="155"/>
      <c r="AF91" s="155"/>
      <c r="AH91" s="155"/>
      <c r="AJ91" s="155"/>
      <c r="AK91" s="8"/>
      <c r="AL91" s="8"/>
      <c r="AM91" s="8"/>
      <c r="AN91" s="8"/>
      <c r="AO91" s="8"/>
      <c r="AP91" s="8"/>
      <c r="AQ91" s="7"/>
      <c r="AR91" s="7"/>
      <c r="AS91" s="7"/>
      <c r="AT91" s="7"/>
      <c r="AU91" s="7"/>
      <c r="AV91" s="7"/>
      <c r="AW91" s="7"/>
      <c r="AX91" s="7"/>
      <c r="AY91" s="7"/>
      <c r="AZ91" s="8"/>
      <c r="BZ91" s="9"/>
      <c r="CA91" s="9"/>
      <c r="CB91" s="9"/>
      <c r="DM91" s="44">
        <f t="shared" si="283"/>
        <v>85</v>
      </c>
      <c r="DN91" s="41">
        <f t="shared" si="257"/>
        <v>12389583.5</v>
      </c>
      <c r="DO91" s="41">
        <f t="shared" si="284"/>
        <v>125767.61271367522</v>
      </c>
      <c r="DP91" s="42">
        <f t="shared" si="258"/>
        <v>0</v>
      </c>
      <c r="DQ91" s="42">
        <f t="shared" si="259"/>
        <v>0</v>
      </c>
      <c r="DR91" s="42">
        <f t="shared" si="260"/>
        <v>0</v>
      </c>
      <c r="DS91" s="42">
        <f t="shared" si="261"/>
        <v>0</v>
      </c>
      <c r="DT91" s="42">
        <f t="shared" si="262"/>
        <v>0</v>
      </c>
      <c r="DU91" s="42">
        <f t="shared" si="263"/>
        <v>4700000</v>
      </c>
      <c r="DV91" s="42">
        <f t="shared" si="264"/>
        <v>2607280</v>
      </c>
      <c r="DW91" s="42">
        <f t="shared" si="265"/>
        <v>977850</v>
      </c>
      <c r="DX91" s="42">
        <f t="shared" si="266"/>
        <v>2288023.5806624033</v>
      </c>
      <c r="DY91" s="42">
        <f>IF(DM91="",DY90,DN91-SUM($DO$6:DO91)+SUM($DP$6:DV91)-SUM($DW$6:DW91))</f>
        <v>10101559.919337597</v>
      </c>
      <c r="DZ91" s="43">
        <f t="shared" si="285"/>
        <v>0.81532683639749448</v>
      </c>
      <c r="EA91" s="43"/>
      <c r="EB91" s="43" t="str">
        <f t="shared" si="295"/>
        <v>True</v>
      </c>
      <c r="EC91" s="41">
        <f t="shared" si="286"/>
        <v>222480</v>
      </c>
      <c r="ED91" s="41">
        <f t="shared" si="287"/>
        <v>686673.49999999988</v>
      </c>
      <c r="EE91" s="41">
        <f t="shared" si="267"/>
        <v>902280</v>
      </c>
      <c r="EF91" s="41">
        <f t="shared" si="288"/>
        <v>12360</v>
      </c>
      <c r="EG91" s="42">
        <f t="shared" si="289"/>
        <v>9537.1319444444434</v>
      </c>
      <c r="EH91" s="42">
        <f t="shared" si="290"/>
        <v>6265.8333333333321</v>
      </c>
      <c r="EI91" s="42">
        <f t="shared" si="268"/>
        <v>160680</v>
      </c>
      <c r="EJ91" s="42">
        <f t="shared" si="269"/>
        <v>123983</v>
      </c>
      <c r="EK91" s="42">
        <f t="shared" si="270"/>
        <v>532596</v>
      </c>
      <c r="EL91" s="42">
        <f>IF(DM91="","",EC91-SUM($EF$6:EF91)+SUM($DP$6:DP91))</f>
        <v>61799.999999999185</v>
      </c>
      <c r="EM91" s="42">
        <f>IF(DM91="","",ED91-SUM($EG$6:EG91)+SUM($DQ$6:DQ91))</f>
        <v>562690.78472222143</v>
      </c>
      <c r="EN91" s="42">
        <f>IF(DM91="","",EE91-SUM($EH$6:EH91)+SUM($DR$6:DR91))</f>
        <v>369684.16666666733</v>
      </c>
      <c r="EO91" s="152">
        <f t="shared" si="271"/>
        <v>0.54883325906741154</v>
      </c>
      <c r="EP91" s="43"/>
      <c r="EQ91" s="42">
        <f t="shared" si="272"/>
        <v>448050</v>
      </c>
      <c r="ER91" s="42">
        <f t="shared" si="273"/>
        <v>248100</v>
      </c>
      <c r="ES91" s="42">
        <f t="shared" si="291"/>
        <v>3733.75</v>
      </c>
      <c r="ET91" s="42">
        <f t="shared" si="292"/>
        <v>6122.9807692307695</v>
      </c>
      <c r="EU91" s="42">
        <f t="shared" si="274"/>
        <v>317369</v>
      </c>
      <c r="EV91" s="42">
        <f t="shared" si="275"/>
        <v>24253</v>
      </c>
      <c r="EW91" s="42">
        <f>IF(DM91="","",IF(DS91&gt;0,DS91,EQ91-SUM($ES$6:ES91)+SUM($DS$6:DS91)))</f>
        <v>130681.25</v>
      </c>
      <c r="EX91" s="42">
        <f>IF(DM91="","",IF(DT91&gt;0,DT91,ER91-SUM($ET$6:ET91)+SUM($DT$6:DT91)))</f>
        <v>223846.63461538521</v>
      </c>
      <c r="EY91" s="43">
        <f t="shared" si="276"/>
        <v>0.90224358974359209</v>
      </c>
      <c r="EZ91" s="43">
        <f t="shared" si="277"/>
        <v>0.29166666666666669</v>
      </c>
      <c r="FA91" s="43"/>
      <c r="FB91" s="42">
        <f t="shared" si="278"/>
        <v>4700000</v>
      </c>
      <c r="FC91" s="42">
        <f t="shared" si="279"/>
        <v>5182000</v>
      </c>
      <c r="FD91" s="41">
        <f t="shared" si="293"/>
        <v>54833.333333333336</v>
      </c>
      <c r="FE91" s="41">
        <f t="shared" si="294"/>
        <v>32914.583333333336</v>
      </c>
      <c r="FF91" s="42">
        <f t="shared" si="280"/>
        <v>0</v>
      </c>
      <c r="FG91" s="42">
        <f t="shared" si="281"/>
        <v>1168310</v>
      </c>
      <c r="FH91" s="42">
        <f>IF(DM91="","",IF(DU91&gt;0,DU91,FB91-SUM($FD$6:FD91)+SUM($DU$6:DU91)))</f>
        <v>4700000</v>
      </c>
      <c r="FI91" s="42">
        <f>IF(DM91="","",FC91-SUM($FE$6:FE91)+SUM($DV$6:DV91)-SUM($DW$6:DW91))</f>
        <v>4013690.4166666651</v>
      </c>
      <c r="FJ91" s="152">
        <f t="shared" si="282"/>
        <v>0.88177397456655171</v>
      </c>
      <c r="FN91" s="8"/>
      <c r="FO91" s="8"/>
      <c r="FP91" s="8"/>
      <c r="FQ91" s="8"/>
      <c r="FR91" s="8"/>
      <c r="FS91" s="8"/>
      <c r="FT91" s="8"/>
      <c r="FU91" s="8"/>
      <c r="GC91" s="68">
        <f t="shared" si="246"/>
        <v>86</v>
      </c>
      <c r="GD91" s="78">
        <f t="shared" si="247"/>
        <v>0</v>
      </c>
      <c r="GE91" s="309">
        <f t="shared" si="248"/>
        <v>0.80601983443313241</v>
      </c>
      <c r="GF91" s="78">
        <f t="shared" si="249"/>
        <v>0</v>
      </c>
      <c r="GG91" s="310">
        <f t="shared" si="250"/>
        <v>0.53328592306099565</v>
      </c>
      <c r="GH91" s="78">
        <f t="shared" si="251"/>
        <v>0</v>
      </c>
      <c r="GI91" s="310">
        <f t="shared" si="252"/>
        <v>0.28333333333333333</v>
      </c>
      <c r="GJ91" s="311">
        <f t="shared" si="253"/>
        <v>0</v>
      </c>
      <c r="GK91" s="310">
        <f t="shared" si="254"/>
        <v>0.877564102564105</v>
      </c>
      <c r="GL91" s="311">
        <f t="shared" si="255"/>
        <v>0</v>
      </c>
      <c r="GM91" s="310">
        <f t="shared" si="256"/>
        <v>0.87624607714737535</v>
      </c>
      <c r="HB91" s="24"/>
      <c r="HC91" s="13"/>
      <c r="HD91" s="13"/>
      <c r="HE91" s="13"/>
      <c r="HF91" s="13"/>
      <c r="HG91" s="75"/>
      <c r="HH91" s="75"/>
      <c r="HI91" s="75"/>
      <c r="HJ91" s="75"/>
      <c r="HK91" s="66"/>
      <c r="HL91" s="75"/>
      <c r="HM91" s="75"/>
    </row>
    <row r="92" spans="3:221" x14ac:dyDescent="0.2">
      <c r="C92" s="426">
        <f t="shared" si="243"/>
        <v>42005</v>
      </c>
      <c r="D92" s="155">
        <f t="shared" si="244"/>
        <v>24</v>
      </c>
      <c r="E92" s="155">
        <f t="shared" si="242"/>
        <v>12307520</v>
      </c>
      <c r="F92" s="155"/>
      <c r="G92" s="438">
        <f t="shared" si="245"/>
        <v>124541.17521367522</v>
      </c>
      <c r="I92" s="444">
        <f>IF(D92="","",'Mx FORECAST'!DX30)</f>
        <v>2768588.2051282041</v>
      </c>
      <c r="J92" s="155">
        <f>IF(D92="","",'Mx FORECAST'!DP30)</f>
        <v>0</v>
      </c>
      <c r="K92" s="155">
        <f>IF(D92="","",'Mx FORECAST'!DQ30)</f>
        <v>0</v>
      </c>
      <c r="M92" s="155">
        <f>IF(D92="","",'Mx FORECAST'!DR30)</f>
        <v>0</v>
      </c>
      <c r="O92" s="155">
        <f>IF(D92="","",'Mx FORECAST'!DS30)</f>
        <v>0</v>
      </c>
      <c r="Q92" s="155">
        <f>IF(D92="","",'Mx FORECAST'!DT30)</f>
        <v>0</v>
      </c>
      <c r="S92" s="155">
        <f>IF(D92="","",'Mx FORECAST'!DU30)</f>
        <v>0</v>
      </c>
      <c r="U92" s="155">
        <f>IF(D92="","",'Mx FORECAST'!DV30)</f>
        <v>0</v>
      </c>
      <c r="W92" s="540">
        <f>IF(D92="","",'Mx FORECAST'!DY30)</f>
        <v>9538931.7948717959</v>
      </c>
      <c r="X92" s="540"/>
      <c r="Y92" s="437">
        <f>IF(D92="","",'Mx FORECAST'!DZ30)</f>
        <v>0.77504905902015975</v>
      </c>
      <c r="AD92" s="155"/>
      <c r="AF92" s="155"/>
      <c r="AH92" s="155"/>
      <c r="AJ92" s="155"/>
      <c r="AK92" s="8"/>
      <c r="AL92" s="8"/>
      <c r="AM92" s="8"/>
      <c r="AN92" s="8"/>
      <c r="AO92" s="8"/>
      <c r="AP92" s="8"/>
      <c r="AQ92" s="7"/>
      <c r="AR92" s="7"/>
      <c r="AS92" s="7"/>
      <c r="AT92" s="7"/>
      <c r="AU92" s="7"/>
      <c r="AV92" s="7"/>
      <c r="AW92" s="7"/>
      <c r="AX92" s="7"/>
      <c r="AY92" s="7"/>
      <c r="AZ92" s="8"/>
      <c r="BZ92" s="9"/>
      <c r="CA92" s="9"/>
      <c r="CB92" s="9"/>
      <c r="DM92" s="44">
        <f t="shared" si="283"/>
        <v>86</v>
      </c>
      <c r="DN92" s="41">
        <f t="shared" si="257"/>
        <v>12624583.5</v>
      </c>
      <c r="DO92" s="41">
        <f t="shared" si="284"/>
        <v>160895.21688034188</v>
      </c>
      <c r="DP92" s="42">
        <f t="shared" si="258"/>
        <v>0</v>
      </c>
      <c r="DQ92" s="42">
        <f t="shared" si="259"/>
        <v>0</v>
      </c>
      <c r="DR92" s="42">
        <f t="shared" si="260"/>
        <v>0</v>
      </c>
      <c r="DS92" s="42">
        <f t="shared" si="261"/>
        <v>0</v>
      </c>
      <c r="DT92" s="42">
        <f t="shared" si="262"/>
        <v>0</v>
      </c>
      <c r="DU92" s="42">
        <f t="shared" si="263"/>
        <v>0</v>
      </c>
      <c r="DV92" s="42">
        <f t="shared" si="264"/>
        <v>0</v>
      </c>
      <c r="DW92" s="42">
        <f t="shared" si="265"/>
        <v>0</v>
      </c>
      <c r="DX92" s="42">
        <f t="shared" si="266"/>
        <v>2448918.7975427452</v>
      </c>
      <c r="DY92" s="42">
        <f>IF(DM92="",DY91,DN92-SUM($DO$6:DO92)+SUM($DP$6:DV92)-SUM($DW$6:DW92))</f>
        <v>10175664.702457255</v>
      </c>
      <c r="DZ92" s="43">
        <f t="shared" si="285"/>
        <v>0.80601983443313241</v>
      </c>
      <c r="EA92" s="43"/>
      <c r="EB92" s="43" t="str">
        <f t="shared" si="295"/>
        <v>True</v>
      </c>
      <c r="EC92" s="41">
        <f t="shared" si="286"/>
        <v>222480</v>
      </c>
      <c r="ED92" s="41">
        <f t="shared" si="287"/>
        <v>686673.49999999988</v>
      </c>
      <c r="EE92" s="41">
        <f t="shared" si="267"/>
        <v>902280</v>
      </c>
      <c r="EF92" s="41">
        <f t="shared" si="288"/>
        <v>12360</v>
      </c>
      <c r="EG92" s="42">
        <f t="shared" si="289"/>
        <v>9537.1319444444434</v>
      </c>
      <c r="EH92" s="42">
        <f t="shared" si="290"/>
        <v>6265.8333333333321</v>
      </c>
      <c r="EI92" s="42">
        <f t="shared" si="268"/>
        <v>173040</v>
      </c>
      <c r="EJ92" s="42">
        <f t="shared" si="269"/>
        <v>133520</v>
      </c>
      <c r="EK92" s="42">
        <f t="shared" si="270"/>
        <v>538862</v>
      </c>
      <c r="EL92" s="42">
        <f>IF(DM92="","",EC92-SUM($EF$6:EF92)+SUM($DP$6:DP92))</f>
        <v>49439.999999999185</v>
      </c>
      <c r="EM92" s="42">
        <f>IF(DM92="","",ED92-SUM($EG$6:EG92)+SUM($DQ$6:DQ92))</f>
        <v>553153.65277777694</v>
      </c>
      <c r="EN92" s="42">
        <f>IF(DM92="","",EE92-SUM($EH$6:EH92)+SUM($DR$6:DR92))</f>
        <v>363418.33333333395</v>
      </c>
      <c r="EO92" s="152">
        <f t="shared" si="271"/>
        <v>0.53328592306099565</v>
      </c>
      <c r="EP92" s="43"/>
      <c r="EQ92" s="42">
        <f t="shared" si="272"/>
        <v>448050</v>
      </c>
      <c r="ER92" s="42">
        <f t="shared" si="273"/>
        <v>248100</v>
      </c>
      <c r="ES92" s="42">
        <f t="shared" si="291"/>
        <v>3733.75</v>
      </c>
      <c r="ET92" s="42">
        <f t="shared" si="292"/>
        <v>6122.9807692307695</v>
      </c>
      <c r="EU92" s="42">
        <f t="shared" si="274"/>
        <v>321103</v>
      </c>
      <c r="EV92" s="42">
        <f t="shared" si="275"/>
        <v>30376</v>
      </c>
      <c r="EW92" s="42">
        <f>IF(DM92="","",IF(DS92&gt;0,DS92,EQ92-SUM($ES$6:ES92)+SUM($DS$6:DS92)))</f>
        <v>126947.5</v>
      </c>
      <c r="EX92" s="42">
        <f>IF(DM92="","",IF(DT92&gt;0,DT92,ER92-SUM($ET$6:ET92)+SUM($DT$6:DT92)))</f>
        <v>217723.65384615446</v>
      </c>
      <c r="EY92" s="43">
        <f t="shared" si="276"/>
        <v>0.877564102564105</v>
      </c>
      <c r="EZ92" s="43">
        <f t="shared" si="277"/>
        <v>0.28333333333333333</v>
      </c>
      <c r="FA92" s="43"/>
      <c r="FB92" s="42">
        <f t="shared" si="278"/>
        <v>4935000</v>
      </c>
      <c r="FC92" s="42">
        <f t="shared" si="279"/>
        <v>5182000</v>
      </c>
      <c r="FD92" s="41">
        <f t="shared" si="293"/>
        <v>89960.9375</v>
      </c>
      <c r="FE92" s="41">
        <f t="shared" si="294"/>
        <v>32914.583333333336</v>
      </c>
      <c r="FF92" s="42">
        <f t="shared" si="280"/>
        <v>50794</v>
      </c>
      <c r="FG92" s="42">
        <f t="shared" si="281"/>
        <v>1201224</v>
      </c>
      <c r="FH92" s="42">
        <f>IF(DM92="","",IF(DU92&gt;0,DU92,FB92-SUM($FD$6:FD92)+SUM($DU$6:DU92)))</f>
        <v>4884205.7291666642</v>
      </c>
      <c r="FI92" s="42">
        <f>IF(DM92="","",FC92-SUM($FE$6:FE92)+SUM($DV$6:DV92)-SUM($DW$6:DW92))</f>
        <v>3980775.8333333321</v>
      </c>
      <c r="FJ92" s="152">
        <f t="shared" si="282"/>
        <v>0.87624607714737535</v>
      </c>
      <c r="FN92" s="8"/>
      <c r="FO92" s="8"/>
      <c r="FP92" s="8"/>
      <c r="FQ92" s="8"/>
      <c r="FR92" s="8"/>
      <c r="FS92" s="8"/>
      <c r="FT92" s="8"/>
      <c r="FU92" s="8"/>
      <c r="GC92" s="68">
        <f t="shared" si="246"/>
        <v>87</v>
      </c>
      <c r="GD92" s="78">
        <f t="shared" si="247"/>
        <v>0</v>
      </c>
      <c r="GE92" s="309">
        <f t="shared" si="248"/>
        <v>0.79327523839316461</v>
      </c>
      <c r="GF92" s="78">
        <f t="shared" si="249"/>
        <v>0</v>
      </c>
      <c r="GG92" s="310">
        <f t="shared" si="250"/>
        <v>0.51773858705457987</v>
      </c>
      <c r="GH92" s="78">
        <f t="shared" si="251"/>
        <v>0</v>
      </c>
      <c r="GI92" s="310">
        <f t="shared" si="252"/>
        <v>0.27500000000000002</v>
      </c>
      <c r="GJ92" s="311">
        <f t="shared" si="253"/>
        <v>0</v>
      </c>
      <c r="GK92" s="310">
        <f t="shared" si="254"/>
        <v>0.85288461538461791</v>
      </c>
      <c r="GL92" s="311">
        <f t="shared" si="255"/>
        <v>0</v>
      </c>
      <c r="GM92" s="310">
        <f t="shared" si="256"/>
        <v>0.86410062683272337</v>
      </c>
      <c r="HB92" s="24"/>
      <c r="HC92" s="13"/>
      <c r="HD92" s="13"/>
      <c r="HE92" s="13"/>
      <c r="HF92" s="13"/>
      <c r="HG92" s="75"/>
      <c r="HH92" s="75"/>
      <c r="HI92" s="75"/>
      <c r="HJ92" s="75"/>
      <c r="HK92" s="66"/>
      <c r="HL92" s="75"/>
      <c r="HM92" s="75"/>
    </row>
    <row r="93" spans="3:221" x14ac:dyDescent="0.2">
      <c r="C93" s="426">
        <f t="shared" si="243"/>
        <v>42036</v>
      </c>
      <c r="D93" s="155">
        <f t="shared" si="244"/>
        <v>25</v>
      </c>
      <c r="E93" s="155">
        <f t="shared" si="242"/>
        <v>12307520</v>
      </c>
      <c r="F93" s="155"/>
      <c r="G93" s="438">
        <f t="shared" si="245"/>
        <v>124541.17521367522</v>
      </c>
      <c r="I93" s="444">
        <f>IF(D93="","",'Mx FORECAST'!DX31)</f>
        <v>2893129.38034188</v>
      </c>
      <c r="J93" s="155">
        <f>IF(D93="","",'Mx FORECAST'!DP31)</f>
        <v>0</v>
      </c>
      <c r="K93" s="155">
        <f>IF(D93="","",'Mx FORECAST'!DQ31)</f>
        <v>0</v>
      </c>
      <c r="M93" s="155">
        <f>IF(D93="","",'Mx FORECAST'!DR31)</f>
        <v>0</v>
      </c>
      <c r="O93" s="155">
        <f>IF(D93="","",'Mx FORECAST'!DS31)</f>
        <v>0</v>
      </c>
      <c r="Q93" s="155">
        <f>IF(D93="","",'Mx FORECAST'!DT31)</f>
        <v>0</v>
      </c>
      <c r="S93" s="155">
        <f>IF(D93="","",'Mx FORECAST'!DU31)</f>
        <v>0</v>
      </c>
      <c r="U93" s="155">
        <f>IF(D93="","",'Mx FORECAST'!DV31)</f>
        <v>0</v>
      </c>
      <c r="W93" s="540">
        <f>IF(D93="","",'Mx FORECAST'!DY31)</f>
        <v>9414390.61965812</v>
      </c>
      <c r="X93" s="540"/>
      <c r="Y93" s="437">
        <f>IF(D93="","",'Mx FORECAST'!DZ31)</f>
        <v>0.76492994686647842</v>
      </c>
      <c r="AD93" s="155"/>
      <c r="AF93" s="155"/>
      <c r="AH93" s="155"/>
      <c r="AJ93" s="155"/>
      <c r="AK93" s="8"/>
      <c r="AL93" s="8"/>
      <c r="AM93" s="8"/>
      <c r="AN93" s="8"/>
      <c r="AO93" s="8"/>
      <c r="AP93" s="8"/>
      <c r="AQ93" s="7"/>
      <c r="AR93" s="7"/>
      <c r="AS93" s="7"/>
      <c r="AT93" s="7"/>
      <c r="AU93" s="7"/>
      <c r="AV93" s="7"/>
      <c r="AW93" s="7"/>
      <c r="AX93" s="7"/>
      <c r="AY93" s="7"/>
      <c r="AZ93" s="8"/>
      <c r="BZ93" s="9"/>
      <c r="CA93" s="9"/>
      <c r="CB93" s="9"/>
      <c r="DM93" s="44">
        <f t="shared" si="283"/>
        <v>87</v>
      </c>
      <c r="DN93" s="41">
        <f t="shared" si="257"/>
        <v>12624583.5</v>
      </c>
      <c r="DO93" s="41">
        <f t="shared" si="284"/>
        <v>160895.21688034188</v>
      </c>
      <c r="DP93" s="42">
        <f t="shared" si="258"/>
        <v>0</v>
      </c>
      <c r="DQ93" s="42">
        <f t="shared" si="259"/>
        <v>0</v>
      </c>
      <c r="DR93" s="42">
        <f t="shared" si="260"/>
        <v>0</v>
      </c>
      <c r="DS93" s="42">
        <f t="shared" si="261"/>
        <v>0</v>
      </c>
      <c r="DT93" s="42">
        <f t="shared" si="262"/>
        <v>0</v>
      </c>
      <c r="DU93" s="42">
        <f t="shared" si="263"/>
        <v>0</v>
      </c>
      <c r="DV93" s="42">
        <f t="shared" si="264"/>
        <v>0</v>
      </c>
      <c r="DW93" s="42">
        <f t="shared" si="265"/>
        <v>0</v>
      </c>
      <c r="DX93" s="42">
        <f t="shared" si="266"/>
        <v>2609814.0144230872</v>
      </c>
      <c r="DY93" s="42">
        <f>IF(DM93="",DY92,DN93-SUM($DO$6:DO93)+SUM($DP$6:DV93)-SUM($DW$6:DW93))</f>
        <v>10014769.485576913</v>
      </c>
      <c r="DZ93" s="43">
        <f t="shared" si="285"/>
        <v>0.79327523839316461</v>
      </c>
      <c r="EA93" s="43"/>
      <c r="EB93" s="43" t="str">
        <f t="shared" si="295"/>
        <v>True</v>
      </c>
      <c r="EC93" s="41">
        <f t="shared" si="286"/>
        <v>222480</v>
      </c>
      <c r="ED93" s="41">
        <f t="shared" si="287"/>
        <v>686673.49999999988</v>
      </c>
      <c r="EE93" s="41">
        <f t="shared" si="267"/>
        <v>902280</v>
      </c>
      <c r="EF93" s="41">
        <f t="shared" si="288"/>
        <v>12360</v>
      </c>
      <c r="EG93" s="42">
        <f t="shared" si="289"/>
        <v>9537.1319444444434</v>
      </c>
      <c r="EH93" s="42">
        <f t="shared" si="290"/>
        <v>6265.8333333333321</v>
      </c>
      <c r="EI93" s="42">
        <f t="shared" si="268"/>
        <v>185400</v>
      </c>
      <c r="EJ93" s="42">
        <f t="shared" si="269"/>
        <v>143057</v>
      </c>
      <c r="EK93" s="42">
        <f t="shared" si="270"/>
        <v>545127</v>
      </c>
      <c r="EL93" s="42">
        <f>IF(DM93="","",EC93-SUM($EF$6:EF93)+SUM($DP$6:DP93))</f>
        <v>37079.999999999185</v>
      </c>
      <c r="EM93" s="42">
        <f>IF(DM93="","",ED93-SUM($EG$6:EG93)+SUM($DQ$6:DQ93))</f>
        <v>543616.52083333244</v>
      </c>
      <c r="EN93" s="42">
        <f>IF(DM93="","",EE93-SUM($EH$6:EH93)+SUM($DR$6:DR93))</f>
        <v>357152.50000000058</v>
      </c>
      <c r="EO93" s="152">
        <f t="shared" si="271"/>
        <v>0.51773858705457987</v>
      </c>
      <c r="EP93" s="43"/>
      <c r="EQ93" s="42">
        <f t="shared" si="272"/>
        <v>448050</v>
      </c>
      <c r="ER93" s="42">
        <f t="shared" si="273"/>
        <v>248100</v>
      </c>
      <c r="ES93" s="42">
        <f t="shared" si="291"/>
        <v>3733.75</v>
      </c>
      <c r="ET93" s="42">
        <f t="shared" si="292"/>
        <v>6122.9807692307695</v>
      </c>
      <c r="EU93" s="42">
        <f t="shared" si="274"/>
        <v>324836</v>
      </c>
      <c r="EV93" s="42">
        <f t="shared" si="275"/>
        <v>36499</v>
      </c>
      <c r="EW93" s="42">
        <f>IF(DM93="","",IF(DS93&gt;0,DS93,EQ93-SUM($ES$6:ES93)+SUM($DS$6:DS93)))</f>
        <v>123213.75</v>
      </c>
      <c r="EX93" s="42">
        <f>IF(DM93="","",IF(DT93&gt;0,DT93,ER93-SUM($ET$6:ET93)+SUM($DT$6:DT93)))</f>
        <v>211600.6730769237</v>
      </c>
      <c r="EY93" s="43">
        <f t="shared" si="276"/>
        <v>0.85288461538461791</v>
      </c>
      <c r="EZ93" s="43">
        <f t="shared" si="277"/>
        <v>0.27500000000000002</v>
      </c>
      <c r="FA93" s="43"/>
      <c r="FB93" s="42">
        <f t="shared" si="278"/>
        <v>4935000</v>
      </c>
      <c r="FC93" s="42">
        <f t="shared" si="279"/>
        <v>5182000</v>
      </c>
      <c r="FD93" s="41">
        <f t="shared" si="293"/>
        <v>89960.9375</v>
      </c>
      <c r="FE93" s="41">
        <f t="shared" si="294"/>
        <v>32914.583333333336</v>
      </c>
      <c r="FF93" s="42">
        <f t="shared" si="280"/>
        <v>140755</v>
      </c>
      <c r="FG93" s="42">
        <f t="shared" si="281"/>
        <v>1234139</v>
      </c>
      <c r="FH93" s="42">
        <f>IF(DM93="","",IF(DU93&gt;0,DU93,FB93-SUM($FD$6:FD93)+SUM($DU$6:DU93)))</f>
        <v>4794244.7916666642</v>
      </c>
      <c r="FI93" s="42">
        <f>IF(DM93="","",FC93-SUM($FE$6:FE93)+SUM($DV$6:DV93)-SUM($DW$6:DW93))</f>
        <v>3947861.2499999981</v>
      </c>
      <c r="FJ93" s="152">
        <f t="shared" si="282"/>
        <v>0.86410062683272337</v>
      </c>
      <c r="FN93" s="8"/>
      <c r="FO93" s="8"/>
      <c r="FP93" s="8"/>
      <c r="FQ93" s="8"/>
      <c r="FR93" s="8"/>
      <c r="FS93" s="8"/>
      <c r="FT93" s="8"/>
      <c r="FU93" s="8"/>
      <c r="GC93" s="68">
        <f t="shared" si="246"/>
        <v>88</v>
      </c>
      <c r="GD93" s="78">
        <f t="shared" si="247"/>
        <v>0</v>
      </c>
      <c r="GE93" s="309">
        <f t="shared" si="248"/>
        <v>0.78053064235319691</v>
      </c>
      <c r="GF93" s="78">
        <f t="shared" si="249"/>
        <v>0</v>
      </c>
      <c r="GG93" s="310">
        <f t="shared" si="250"/>
        <v>0.50219125104816398</v>
      </c>
      <c r="GH93" s="78">
        <f t="shared" si="251"/>
        <v>0</v>
      </c>
      <c r="GI93" s="310">
        <f t="shared" si="252"/>
        <v>0.26666666666666666</v>
      </c>
      <c r="GJ93" s="311">
        <f t="shared" si="253"/>
        <v>0</v>
      </c>
      <c r="GK93" s="310">
        <f t="shared" si="254"/>
        <v>0.82820512820513081</v>
      </c>
      <c r="GL93" s="311">
        <f t="shared" si="255"/>
        <v>0</v>
      </c>
      <c r="GM93" s="310">
        <f t="shared" si="256"/>
        <v>0.8519551765180714</v>
      </c>
      <c r="HB93" s="24"/>
      <c r="HC93" s="13"/>
      <c r="HD93" s="13"/>
      <c r="HE93" s="13"/>
      <c r="HF93" s="13"/>
      <c r="HG93" s="75"/>
      <c r="HH93" s="75"/>
      <c r="HI93" s="75"/>
      <c r="HJ93" s="75"/>
      <c r="HK93" s="66"/>
      <c r="HL93" s="75"/>
      <c r="HM93" s="75"/>
    </row>
    <row r="94" spans="3:221" x14ac:dyDescent="0.2">
      <c r="C94" s="426">
        <f t="shared" si="243"/>
        <v>42064</v>
      </c>
      <c r="D94" s="155">
        <f t="shared" si="244"/>
        <v>26</v>
      </c>
      <c r="E94" s="155">
        <f t="shared" si="242"/>
        <v>12307520</v>
      </c>
      <c r="F94" s="155"/>
      <c r="G94" s="438">
        <f t="shared" si="245"/>
        <v>124541.17521367522</v>
      </c>
      <c r="I94" s="444">
        <f>IF(D94="","",'Mx FORECAST'!DX32)</f>
        <v>3017670.5555555541</v>
      </c>
      <c r="J94" s="155">
        <f>IF(D94="","",'Mx FORECAST'!DP32)</f>
        <v>0</v>
      </c>
      <c r="K94" s="155">
        <f>IF(D94="","",'Mx FORECAST'!DQ32)</f>
        <v>0</v>
      </c>
      <c r="M94" s="155">
        <f>IF(D94="","",'Mx FORECAST'!DR32)</f>
        <v>0</v>
      </c>
      <c r="O94" s="155">
        <f>IF(D94="","",'Mx FORECAST'!DS32)</f>
        <v>0</v>
      </c>
      <c r="Q94" s="155">
        <f>IF(D94="","",'Mx FORECAST'!DT32)</f>
        <v>0</v>
      </c>
      <c r="S94" s="155">
        <f>IF(D94="","",'Mx FORECAST'!DU32)</f>
        <v>0</v>
      </c>
      <c r="U94" s="155">
        <f>IF(D94="","",'Mx FORECAST'!DV32)</f>
        <v>0</v>
      </c>
      <c r="W94" s="540">
        <f>IF(D94="","",'Mx FORECAST'!DY32)</f>
        <v>9289849.4444444459</v>
      </c>
      <c r="X94" s="540"/>
      <c r="Y94" s="437">
        <f>IF(D94="","",'Mx FORECAST'!DZ32)</f>
        <v>0.7548108347127972</v>
      </c>
      <c r="AD94" s="155"/>
      <c r="AF94" s="155"/>
      <c r="AH94" s="155"/>
      <c r="AJ94" s="155"/>
      <c r="AK94" s="8"/>
      <c r="AL94" s="8"/>
      <c r="AM94" s="8"/>
      <c r="AN94" s="8"/>
      <c r="AO94" s="8"/>
      <c r="AP94" s="8"/>
      <c r="AQ94" s="7"/>
      <c r="AR94" s="7"/>
      <c r="AS94" s="7"/>
      <c r="AT94" s="7"/>
      <c r="AU94" s="7"/>
      <c r="AV94" s="7"/>
      <c r="AW94" s="7"/>
      <c r="AX94" s="7"/>
      <c r="AY94" s="7"/>
      <c r="AZ94" s="8"/>
      <c r="BZ94" s="9"/>
      <c r="CA94" s="9"/>
      <c r="CB94" s="9"/>
      <c r="DM94" s="44">
        <f t="shared" si="283"/>
        <v>88</v>
      </c>
      <c r="DN94" s="41">
        <f t="shared" si="257"/>
        <v>12624583.5</v>
      </c>
      <c r="DO94" s="41">
        <f t="shared" si="284"/>
        <v>160895.21688034188</v>
      </c>
      <c r="DP94" s="42">
        <f t="shared" si="258"/>
        <v>0</v>
      </c>
      <c r="DQ94" s="42">
        <f t="shared" si="259"/>
        <v>0</v>
      </c>
      <c r="DR94" s="42">
        <f t="shared" si="260"/>
        <v>0</v>
      </c>
      <c r="DS94" s="42">
        <f t="shared" si="261"/>
        <v>0</v>
      </c>
      <c r="DT94" s="42">
        <f t="shared" si="262"/>
        <v>0</v>
      </c>
      <c r="DU94" s="42">
        <f t="shared" si="263"/>
        <v>0</v>
      </c>
      <c r="DV94" s="42">
        <f t="shared" si="264"/>
        <v>0</v>
      </c>
      <c r="DW94" s="42">
        <f t="shared" si="265"/>
        <v>0</v>
      </c>
      <c r="DX94" s="42">
        <f t="shared" si="266"/>
        <v>2770709.2313034292</v>
      </c>
      <c r="DY94" s="42">
        <f>IF(DM94="",DY93,DN94-SUM($DO$6:DO94)+SUM($DP$6:DV94)-SUM($DW$6:DW94))</f>
        <v>9853874.2686965708</v>
      </c>
      <c r="DZ94" s="43">
        <f t="shared" si="285"/>
        <v>0.78053064235319691</v>
      </c>
      <c r="EA94" s="43"/>
      <c r="EB94" s="43" t="str">
        <f t="shared" si="295"/>
        <v>True</v>
      </c>
      <c r="EC94" s="41">
        <f t="shared" si="286"/>
        <v>222480</v>
      </c>
      <c r="ED94" s="41">
        <f t="shared" si="287"/>
        <v>686673.49999999988</v>
      </c>
      <c r="EE94" s="41">
        <f t="shared" si="267"/>
        <v>902280</v>
      </c>
      <c r="EF94" s="41">
        <f t="shared" si="288"/>
        <v>12360</v>
      </c>
      <c r="EG94" s="42">
        <f t="shared" si="289"/>
        <v>9537.1319444444434</v>
      </c>
      <c r="EH94" s="42">
        <f t="shared" si="290"/>
        <v>6265.8333333333321</v>
      </c>
      <c r="EI94" s="42">
        <f t="shared" si="268"/>
        <v>197760</v>
      </c>
      <c r="EJ94" s="42">
        <f t="shared" si="269"/>
        <v>152594</v>
      </c>
      <c r="EK94" s="42">
        <f t="shared" si="270"/>
        <v>551393</v>
      </c>
      <c r="EL94" s="42">
        <f>IF(DM94="","",EC94-SUM($EF$6:EF94)+SUM($DP$6:DP94))</f>
        <v>24719.999999999185</v>
      </c>
      <c r="EM94" s="42">
        <f>IF(DM94="","",ED94-SUM($EG$6:EG94)+SUM($DQ$6:DQ94))</f>
        <v>534079.38888888794</v>
      </c>
      <c r="EN94" s="42">
        <f>IF(DM94="","",EE94-SUM($EH$6:EH94)+SUM($DR$6:DR94))</f>
        <v>350886.66666666721</v>
      </c>
      <c r="EO94" s="152">
        <f t="shared" si="271"/>
        <v>0.50219125104816398</v>
      </c>
      <c r="EP94" s="43"/>
      <c r="EQ94" s="42">
        <f t="shared" si="272"/>
        <v>448050</v>
      </c>
      <c r="ER94" s="42">
        <f t="shared" si="273"/>
        <v>248100</v>
      </c>
      <c r="ES94" s="42">
        <f t="shared" si="291"/>
        <v>3733.75</v>
      </c>
      <c r="ET94" s="42">
        <f t="shared" si="292"/>
        <v>6122.9807692307695</v>
      </c>
      <c r="EU94" s="42">
        <f t="shared" si="274"/>
        <v>328570</v>
      </c>
      <c r="EV94" s="42">
        <f t="shared" si="275"/>
        <v>42622</v>
      </c>
      <c r="EW94" s="42">
        <f>IF(DM94="","",IF(DS94&gt;0,DS94,EQ94-SUM($ES$6:ES94)+SUM($DS$6:DS94)))</f>
        <v>119480</v>
      </c>
      <c r="EX94" s="42">
        <f>IF(DM94="","",IF(DT94&gt;0,DT94,ER94-SUM($ET$6:ET94)+SUM($DT$6:DT94)))</f>
        <v>205477.69230769295</v>
      </c>
      <c r="EY94" s="43">
        <f t="shared" si="276"/>
        <v>0.82820512820513081</v>
      </c>
      <c r="EZ94" s="43">
        <f t="shared" si="277"/>
        <v>0.26666666666666666</v>
      </c>
      <c r="FA94" s="43"/>
      <c r="FB94" s="42">
        <f t="shared" si="278"/>
        <v>4935000</v>
      </c>
      <c r="FC94" s="42">
        <f t="shared" si="279"/>
        <v>5182000</v>
      </c>
      <c r="FD94" s="41">
        <f t="shared" si="293"/>
        <v>89960.9375</v>
      </c>
      <c r="FE94" s="41">
        <f t="shared" si="294"/>
        <v>32914.583333333336</v>
      </c>
      <c r="FF94" s="42">
        <f t="shared" si="280"/>
        <v>230716</v>
      </c>
      <c r="FG94" s="42">
        <f t="shared" si="281"/>
        <v>1267053</v>
      </c>
      <c r="FH94" s="42">
        <f>IF(DM94="","",IF(DU94&gt;0,DU94,FB94-SUM($FD$6:FD94)+SUM($DU$6:DU94)))</f>
        <v>4704283.8541666642</v>
      </c>
      <c r="FI94" s="42">
        <f>IF(DM94="","",FC94-SUM($FE$6:FE94)+SUM($DV$6:DV94)-SUM($DW$6:DW94))</f>
        <v>3914946.6666666642</v>
      </c>
      <c r="FJ94" s="152">
        <f t="shared" si="282"/>
        <v>0.8519551765180714</v>
      </c>
      <c r="FN94" s="8"/>
      <c r="FO94" s="8"/>
      <c r="FP94" s="8"/>
      <c r="FQ94" s="8"/>
      <c r="FR94" s="8"/>
      <c r="FS94" s="8"/>
      <c r="FT94" s="8"/>
      <c r="FU94" s="8"/>
      <c r="GC94" s="68">
        <f t="shared" si="246"/>
        <v>89</v>
      </c>
      <c r="GD94" s="78">
        <f t="shared" si="247"/>
        <v>0</v>
      </c>
      <c r="GE94" s="309">
        <f t="shared" si="248"/>
        <v>0.76778604631322922</v>
      </c>
      <c r="GF94" s="78">
        <f t="shared" si="249"/>
        <v>0</v>
      </c>
      <c r="GG94" s="310">
        <f t="shared" si="250"/>
        <v>0.48664391504174814</v>
      </c>
      <c r="GH94" s="78">
        <f t="shared" si="251"/>
        <v>0</v>
      </c>
      <c r="GI94" s="310">
        <f t="shared" si="252"/>
        <v>0.25833333333333336</v>
      </c>
      <c r="GJ94" s="311">
        <f t="shared" si="253"/>
        <v>0</v>
      </c>
      <c r="GK94" s="310">
        <f t="shared" si="254"/>
        <v>0.80352564102564372</v>
      </c>
      <c r="GL94" s="311">
        <f t="shared" si="255"/>
        <v>0</v>
      </c>
      <c r="GM94" s="310">
        <f t="shared" si="256"/>
        <v>0.83980972620341965</v>
      </c>
      <c r="HB94" s="24"/>
      <c r="HC94" s="13"/>
      <c r="HD94" s="13"/>
      <c r="HE94" s="13"/>
      <c r="HF94" s="13"/>
      <c r="HG94" s="75"/>
      <c r="HH94" s="75"/>
      <c r="HI94" s="75"/>
      <c r="HJ94" s="75"/>
      <c r="HK94" s="66"/>
      <c r="HL94" s="75"/>
      <c r="HM94" s="75"/>
    </row>
    <row r="95" spans="3:221" x14ac:dyDescent="0.2">
      <c r="C95" s="426">
        <f t="shared" si="243"/>
        <v>42095</v>
      </c>
      <c r="D95" s="155">
        <f t="shared" si="244"/>
        <v>27</v>
      </c>
      <c r="E95" s="155">
        <f t="shared" si="242"/>
        <v>12307520</v>
      </c>
      <c r="F95" s="155"/>
      <c r="G95" s="438">
        <f t="shared" si="245"/>
        <v>124541.17521367522</v>
      </c>
      <c r="I95" s="444">
        <f>IF(D95="","",'Mx FORECAST'!DX33)</f>
        <v>3142211.7307692282</v>
      </c>
      <c r="J95" s="155">
        <f>IF(D95="","",'Mx FORECAST'!DP33)</f>
        <v>0</v>
      </c>
      <c r="K95" s="155">
        <f>IF(D95="","",'Mx FORECAST'!DQ33)</f>
        <v>0</v>
      </c>
      <c r="M95" s="155">
        <f>IF(D95="","",'Mx FORECAST'!DR33)</f>
        <v>0</v>
      </c>
      <c r="O95" s="155">
        <f>IF(D95="","",'Mx FORECAST'!DS33)</f>
        <v>0</v>
      </c>
      <c r="Q95" s="155">
        <f>IF(D95="","",'Mx FORECAST'!DT33)</f>
        <v>0</v>
      </c>
      <c r="S95" s="155">
        <f>IF(D95="","",'Mx FORECAST'!DU33)</f>
        <v>0</v>
      </c>
      <c r="U95" s="155">
        <f>IF(D95="","",'Mx FORECAST'!DV33)</f>
        <v>0</v>
      </c>
      <c r="W95" s="540">
        <f>IF(D95="","",'Mx FORECAST'!DY33)</f>
        <v>9165308.2692307718</v>
      </c>
      <c r="X95" s="540"/>
      <c r="Y95" s="437">
        <f>IF(D95="","",'Mx FORECAST'!DZ33)</f>
        <v>0.74469172255911609</v>
      </c>
      <c r="AD95" s="155"/>
      <c r="AF95" s="155"/>
      <c r="AH95" s="155"/>
      <c r="AJ95" s="155"/>
      <c r="AK95" s="8"/>
      <c r="AL95" s="8"/>
      <c r="AM95" s="8"/>
      <c r="AN95" s="8"/>
      <c r="AO95" s="8"/>
      <c r="AP95" s="8"/>
      <c r="AQ95" s="7"/>
      <c r="AR95" s="7"/>
      <c r="AS95" s="7"/>
      <c r="AT95" s="7"/>
      <c r="AU95" s="7"/>
      <c r="AV95" s="7"/>
      <c r="AW95" s="7"/>
      <c r="AX95" s="7"/>
      <c r="AY95" s="7"/>
      <c r="AZ95" s="8"/>
      <c r="BZ95" s="9"/>
      <c r="CA95" s="9"/>
      <c r="CB95" s="9"/>
      <c r="DM95" s="44">
        <f t="shared" si="283"/>
        <v>89</v>
      </c>
      <c r="DN95" s="41">
        <f t="shared" si="257"/>
        <v>12624583.5</v>
      </c>
      <c r="DO95" s="41">
        <f t="shared" si="284"/>
        <v>160895.21688034188</v>
      </c>
      <c r="DP95" s="42">
        <f t="shared" si="258"/>
        <v>0</v>
      </c>
      <c r="DQ95" s="42">
        <f t="shared" si="259"/>
        <v>0</v>
      </c>
      <c r="DR95" s="42">
        <f t="shared" si="260"/>
        <v>0</v>
      </c>
      <c r="DS95" s="42">
        <f t="shared" si="261"/>
        <v>0</v>
      </c>
      <c r="DT95" s="42">
        <f t="shared" si="262"/>
        <v>0</v>
      </c>
      <c r="DU95" s="42">
        <f t="shared" si="263"/>
        <v>0</v>
      </c>
      <c r="DV95" s="42">
        <f t="shared" si="264"/>
        <v>0</v>
      </c>
      <c r="DW95" s="42">
        <f t="shared" si="265"/>
        <v>0</v>
      </c>
      <c r="DX95" s="42">
        <f t="shared" si="266"/>
        <v>2931604.4481837712</v>
      </c>
      <c r="DY95" s="42">
        <f>IF(DM95="",DY94,DN95-SUM($DO$6:DO95)+SUM($DP$6:DV95)-SUM($DW$6:DW95))</f>
        <v>9692979.0518162288</v>
      </c>
      <c r="DZ95" s="43">
        <f t="shared" si="285"/>
        <v>0.76778604631322922</v>
      </c>
      <c r="EA95" s="43"/>
      <c r="EB95" s="43" t="str">
        <f t="shared" si="295"/>
        <v>True</v>
      </c>
      <c r="EC95" s="41">
        <f t="shared" si="286"/>
        <v>222480</v>
      </c>
      <c r="ED95" s="41">
        <f t="shared" si="287"/>
        <v>686673.49999999988</v>
      </c>
      <c r="EE95" s="41">
        <f t="shared" si="267"/>
        <v>902280</v>
      </c>
      <c r="EF95" s="41">
        <f t="shared" si="288"/>
        <v>12360</v>
      </c>
      <c r="EG95" s="42">
        <f t="shared" si="289"/>
        <v>9537.1319444444434</v>
      </c>
      <c r="EH95" s="42">
        <f t="shared" si="290"/>
        <v>6265.8333333333321</v>
      </c>
      <c r="EI95" s="42">
        <f t="shared" si="268"/>
        <v>210120</v>
      </c>
      <c r="EJ95" s="42">
        <f t="shared" si="269"/>
        <v>162131</v>
      </c>
      <c r="EK95" s="42">
        <f t="shared" si="270"/>
        <v>557659</v>
      </c>
      <c r="EL95" s="42">
        <f>IF(DM95="","",EC95-SUM($EF$6:EF95)+SUM($DP$6:DP95))</f>
        <v>12359.999999999185</v>
      </c>
      <c r="EM95" s="42">
        <f>IF(DM95="","",ED95-SUM($EG$6:EG95)+SUM($DQ$6:DQ95))</f>
        <v>524542.25694444345</v>
      </c>
      <c r="EN95" s="42">
        <f>IF(DM95="","",EE95-SUM($EH$6:EH95)+SUM($DR$6:DR95))</f>
        <v>344620.83333333384</v>
      </c>
      <c r="EO95" s="152">
        <f t="shared" si="271"/>
        <v>0.48664391504174814</v>
      </c>
      <c r="EP95" s="43"/>
      <c r="EQ95" s="42">
        <f t="shared" si="272"/>
        <v>448050</v>
      </c>
      <c r="ER95" s="42">
        <f t="shared" si="273"/>
        <v>248100</v>
      </c>
      <c r="ES95" s="42">
        <f t="shared" si="291"/>
        <v>3733.75</v>
      </c>
      <c r="ET95" s="42">
        <f t="shared" si="292"/>
        <v>6122.9807692307695</v>
      </c>
      <c r="EU95" s="42">
        <f t="shared" si="274"/>
        <v>332304</v>
      </c>
      <c r="EV95" s="42">
        <f t="shared" si="275"/>
        <v>48745</v>
      </c>
      <c r="EW95" s="42">
        <f>IF(DM95="","",IF(DS95&gt;0,DS95,EQ95-SUM($ES$6:ES95)+SUM($DS$6:DS95)))</f>
        <v>115746.25</v>
      </c>
      <c r="EX95" s="42">
        <f>IF(DM95="","",IF(DT95&gt;0,DT95,ER95-SUM($ET$6:ET95)+SUM($DT$6:DT95)))</f>
        <v>199354.7115384622</v>
      </c>
      <c r="EY95" s="43">
        <f t="shared" si="276"/>
        <v>0.80352564102564372</v>
      </c>
      <c r="EZ95" s="43">
        <f t="shared" si="277"/>
        <v>0.25833333333333336</v>
      </c>
      <c r="FA95" s="43"/>
      <c r="FB95" s="42">
        <f t="shared" si="278"/>
        <v>4935000</v>
      </c>
      <c r="FC95" s="42">
        <f t="shared" si="279"/>
        <v>5182000</v>
      </c>
      <c r="FD95" s="41">
        <f t="shared" si="293"/>
        <v>89960.9375</v>
      </c>
      <c r="FE95" s="41">
        <f t="shared" si="294"/>
        <v>32914.583333333336</v>
      </c>
      <c r="FF95" s="42">
        <f t="shared" si="280"/>
        <v>320677</v>
      </c>
      <c r="FG95" s="42">
        <f t="shared" si="281"/>
        <v>1299968</v>
      </c>
      <c r="FH95" s="42">
        <f>IF(DM95="","",IF(DU95&gt;0,DU95,FB95-SUM($FD$6:FD95)+SUM($DU$6:DU95)))</f>
        <v>4614322.9166666642</v>
      </c>
      <c r="FI95" s="42">
        <f>IF(DM95="","",FC95-SUM($FE$6:FE95)+SUM($DV$6:DV95)-SUM($DW$6:DW95))</f>
        <v>3882032.0833333312</v>
      </c>
      <c r="FJ95" s="152">
        <f t="shared" si="282"/>
        <v>0.83980972620341965</v>
      </c>
      <c r="FN95" s="8"/>
      <c r="FO95" s="8"/>
      <c r="FP95" s="8"/>
      <c r="FQ95" s="8"/>
      <c r="FR95" s="8"/>
      <c r="FS95" s="8"/>
      <c r="FT95" s="8"/>
      <c r="FU95" s="8"/>
      <c r="GC95" s="68">
        <f t="shared" si="246"/>
        <v>90</v>
      </c>
      <c r="GD95" s="78">
        <f t="shared" si="247"/>
        <v>222480</v>
      </c>
      <c r="GE95" s="309">
        <f t="shared" si="248"/>
        <v>0.77266420986766704</v>
      </c>
      <c r="GF95" s="78">
        <f t="shared" si="249"/>
        <v>222480</v>
      </c>
      <c r="GG95" s="310">
        <f t="shared" si="250"/>
        <v>0.59391643413903883</v>
      </c>
      <c r="GH95" s="78">
        <f t="shared" si="251"/>
        <v>0</v>
      </c>
      <c r="GI95" s="310">
        <f t="shared" si="252"/>
        <v>0.25</v>
      </c>
      <c r="GJ95" s="311">
        <f t="shared" si="253"/>
        <v>0</v>
      </c>
      <c r="GK95" s="310">
        <f t="shared" si="254"/>
        <v>0.77884615384615663</v>
      </c>
      <c r="GL95" s="311">
        <f t="shared" si="255"/>
        <v>0</v>
      </c>
      <c r="GM95" s="310">
        <f t="shared" si="256"/>
        <v>0.82766427588876768</v>
      </c>
      <c r="HB95" s="24"/>
      <c r="HC95" s="13"/>
      <c r="HD95" s="13"/>
      <c r="HE95" s="13"/>
      <c r="HF95" s="13"/>
      <c r="HG95" s="75"/>
      <c r="HH95" s="75"/>
      <c r="HI95" s="75"/>
      <c r="HJ95" s="75"/>
      <c r="HK95" s="66"/>
      <c r="HL95" s="75"/>
      <c r="HM95" s="75"/>
    </row>
    <row r="96" spans="3:221" x14ac:dyDescent="0.2">
      <c r="C96" s="426">
        <f t="shared" si="243"/>
        <v>42125</v>
      </c>
      <c r="D96" s="155">
        <f t="shared" si="244"/>
        <v>28</v>
      </c>
      <c r="E96" s="155">
        <f t="shared" si="242"/>
        <v>12307520</v>
      </c>
      <c r="F96" s="155"/>
      <c r="G96" s="438">
        <f t="shared" si="245"/>
        <v>124541.17521367522</v>
      </c>
      <c r="I96" s="444">
        <f>IF(D96="","",'Mx FORECAST'!DX34)</f>
        <v>3266752.9059829041</v>
      </c>
      <c r="J96" s="155">
        <f>IF(D96="","",'Mx FORECAST'!DP34)</f>
        <v>0</v>
      </c>
      <c r="K96" s="155">
        <f>IF(D96="","",'Mx FORECAST'!DQ34)</f>
        <v>0</v>
      </c>
      <c r="M96" s="155">
        <f>IF(D96="","",'Mx FORECAST'!DR34)</f>
        <v>0</v>
      </c>
      <c r="O96" s="155">
        <f>IF(D96="","",'Mx FORECAST'!DS34)</f>
        <v>0</v>
      </c>
      <c r="Q96" s="155">
        <f>IF(D96="","",'Mx FORECAST'!DT34)</f>
        <v>0</v>
      </c>
      <c r="S96" s="155">
        <f>IF(D96="","",'Mx FORECAST'!DU34)</f>
        <v>0</v>
      </c>
      <c r="U96" s="155">
        <f>IF(D96="","",'Mx FORECAST'!DV34)</f>
        <v>0</v>
      </c>
      <c r="W96" s="540">
        <f>IF(D96="","",'Mx FORECAST'!DY34)</f>
        <v>9040767.0940170959</v>
      </c>
      <c r="X96" s="540"/>
      <c r="Y96" s="437">
        <f>IF(D96="","",'Mx FORECAST'!DZ34)</f>
        <v>0.73457261040543476</v>
      </c>
      <c r="AD96" s="155"/>
      <c r="AF96" s="155"/>
      <c r="AH96" s="155"/>
      <c r="AJ96" s="155"/>
      <c r="AK96" s="8"/>
      <c r="AL96" s="8"/>
      <c r="AM96" s="8"/>
      <c r="AN96" s="8"/>
      <c r="AO96" s="8"/>
      <c r="AP96" s="8"/>
      <c r="AQ96" s="7"/>
      <c r="AR96" s="7"/>
      <c r="AS96" s="7"/>
      <c r="AT96" s="7"/>
      <c r="AU96" s="7"/>
      <c r="AV96" s="7"/>
      <c r="AW96" s="7"/>
      <c r="AX96" s="7"/>
      <c r="AY96" s="7"/>
      <c r="AZ96" s="8"/>
      <c r="BZ96" s="9"/>
      <c r="CA96" s="9"/>
      <c r="CB96" s="9"/>
      <c r="DM96" s="44">
        <f t="shared" si="283"/>
        <v>90</v>
      </c>
      <c r="DN96" s="41">
        <f t="shared" si="257"/>
        <v>12624583.5</v>
      </c>
      <c r="DO96" s="41">
        <f t="shared" si="284"/>
        <v>160895.21688034188</v>
      </c>
      <c r="DP96" s="42">
        <f t="shared" si="258"/>
        <v>222480</v>
      </c>
      <c r="DQ96" s="42">
        <f t="shared" si="259"/>
        <v>0</v>
      </c>
      <c r="DR96" s="42">
        <f t="shared" si="260"/>
        <v>0</v>
      </c>
      <c r="DS96" s="42">
        <f t="shared" si="261"/>
        <v>0</v>
      </c>
      <c r="DT96" s="42">
        <f t="shared" si="262"/>
        <v>0</v>
      </c>
      <c r="DU96" s="42">
        <f t="shared" si="263"/>
        <v>0</v>
      </c>
      <c r="DV96" s="42">
        <f t="shared" si="264"/>
        <v>0</v>
      </c>
      <c r="DW96" s="42">
        <f t="shared" si="265"/>
        <v>0</v>
      </c>
      <c r="DX96" s="42">
        <f t="shared" si="266"/>
        <v>2870019.6650641132</v>
      </c>
      <c r="DY96" s="42">
        <f>IF(DM96="",DY95,DN96-SUM($DO$6:DO96)+SUM($DP$6:DV96)-SUM($DW$6:DW96))</f>
        <v>9754563.8349358868</v>
      </c>
      <c r="DZ96" s="43">
        <f t="shared" si="285"/>
        <v>0.77266420986766704</v>
      </c>
      <c r="EA96" s="43"/>
      <c r="EB96" s="43" t="str">
        <f t="shared" si="295"/>
        <v>True</v>
      </c>
      <c r="EC96" s="41">
        <f t="shared" si="286"/>
        <v>222480</v>
      </c>
      <c r="ED96" s="41">
        <f t="shared" si="287"/>
        <v>686673.49999999988</v>
      </c>
      <c r="EE96" s="41">
        <f t="shared" si="267"/>
        <v>902280</v>
      </c>
      <c r="EF96" s="41">
        <f t="shared" si="288"/>
        <v>12360</v>
      </c>
      <c r="EG96" s="42">
        <f t="shared" si="289"/>
        <v>9537.1319444444434</v>
      </c>
      <c r="EH96" s="42">
        <f t="shared" si="290"/>
        <v>6265.8333333333321</v>
      </c>
      <c r="EI96" s="42">
        <f t="shared" si="268"/>
        <v>0</v>
      </c>
      <c r="EJ96" s="42">
        <f t="shared" si="269"/>
        <v>171668</v>
      </c>
      <c r="EK96" s="42">
        <f t="shared" si="270"/>
        <v>563925</v>
      </c>
      <c r="EL96" s="42">
        <f>IF(DM96="","",EC96-SUM($EF$6:EF96)+SUM($DP$6:DP96))</f>
        <v>222479.99999999919</v>
      </c>
      <c r="EM96" s="42">
        <f>IF(DM96="","",ED96-SUM($EG$6:EG96)+SUM($DQ$6:DQ96))</f>
        <v>515005.12499999895</v>
      </c>
      <c r="EN96" s="42">
        <f>IF(DM96="","",EE96-SUM($EH$6:EH96)+SUM($DR$6:DR96))</f>
        <v>338355.00000000047</v>
      </c>
      <c r="EO96" s="152">
        <f t="shared" si="271"/>
        <v>0.59391643413903883</v>
      </c>
      <c r="EP96" s="43"/>
      <c r="EQ96" s="42">
        <f t="shared" si="272"/>
        <v>448050</v>
      </c>
      <c r="ER96" s="42">
        <f t="shared" si="273"/>
        <v>248100</v>
      </c>
      <c r="ES96" s="42">
        <f t="shared" si="291"/>
        <v>3733.75</v>
      </c>
      <c r="ET96" s="42">
        <f t="shared" si="292"/>
        <v>6122.9807692307695</v>
      </c>
      <c r="EU96" s="42">
        <f t="shared" si="274"/>
        <v>336038</v>
      </c>
      <c r="EV96" s="42">
        <f t="shared" si="275"/>
        <v>54868</v>
      </c>
      <c r="EW96" s="42">
        <f>IF(DM96="","",IF(DS96&gt;0,DS96,EQ96-SUM($ES$6:ES96)+SUM($DS$6:DS96)))</f>
        <v>112012.5</v>
      </c>
      <c r="EX96" s="42">
        <f>IF(DM96="","",IF(DT96&gt;0,DT96,ER96-SUM($ET$6:ET96)+SUM($DT$6:DT96)))</f>
        <v>193231.73076923145</v>
      </c>
      <c r="EY96" s="43">
        <f t="shared" si="276"/>
        <v>0.77884615384615663</v>
      </c>
      <c r="EZ96" s="43">
        <f t="shared" si="277"/>
        <v>0.25</v>
      </c>
      <c r="FA96" s="43"/>
      <c r="FB96" s="42">
        <f t="shared" si="278"/>
        <v>4935000</v>
      </c>
      <c r="FC96" s="42">
        <f t="shared" si="279"/>
        <v>5182000</v>
      </c>
      <c r="FD96" s="41">
        <f t="shared" si="293"/>
        <v>89960.9375</v>
      </c>
      <c r="FE96" s="41">
        <f t="shared" si="294"/>
        <v>32914.583333333336</v>
      </c>
      <c r="FF96" s="42">
        <f t="shared" si="280"/>
        <v>410638</v>
      </c>
      <c r="FG96" s="42">
        <f t="shared" si="281"/>
        <v>1332883</v>
      </c>
      <c r="FH96" s="42">
        <f>IF(DM96="","",IF(DU96&gt;0,DU96,FB96-SUM($FD$6:FD96)+SUM($DU$6:DU96)))</f>
        <v>4524361.9791666642</v>
      </c>
      <c r="FI96" s="42">
        <f>IF(DM96="","",FC96-SUM($FE$6:FE96)+SUM($DV$6:DV96)-SUM($DW$6:DW96))</f>
        <v>3849117.4999999981</v>
      </c>
      <c r="FJ96" s="152">
        <f t="shared" si="282"/>
        <v>0.82766427588876768</v>
      </c>
      <c r="FN96" s="8"/>
      <c r="FO96" s="8"/>
      <c r="FP96" s="8"/>
      <c r="FQ96" s="8"/>
      <c r="FR96" s="8"/>
      <c r="FS96" s="8"/>
      <c r="FT96" s="8"/>
      <c r="FU96" s="8"/>
      <c r="GC96" s="68">
        <f t="shared" si="246"/>
        <v>91</v>
      </c>
      <c r="GD96" s="78">
        <f t="shared" si="247"/>
        <v>0</v>
      </c>
      <c r="GE96" s="309">
        <f t="shared" si="248"/>
        <v>0.76053146333596666</v>
      </c>
      <c r="GF96" s="78">
        <f t="shared" si="249"/>
        <v>0</v>
      </c>
      <c r="GG96" s="310">
        <f t="shared" si="250"/>
        <v>0.58666460188017933</v>
      </c>
      <c r="GH96" s="78">
        <f t="shared" si="251"/>
        <v>0</v>
      </c>
      <c r="GI96" s="310">
        <f t="shared" si="252"/>
        <v>0.24166666666666667</v>
      </c>
      <c r="GJ96" s="311">
        <f t="shared" si="253"/>
        <v>0</v>
      </c>
      <c r="GK96" s="310">
        <f t="shared" si="254"/>
        <v>0.75416666666666943</v>
      </c>
      <c r="GL96" s="311">
        <f t="shared" si="255"/>
        <v>0</v>
      </c>
      <c r="GM96" s="310">
        <f t="shared" si="256"/>
        <v>0.8155188255741157</v>
      </c>
      <c r="HB96" s="24"/>
      <c r="HC96" s="13"/>
      <c r="HD96" s="13"/>
      <c r="HE96" s="13"/>
      <c r="HF96" s="13"/>
      <c r="HG96" s="75"/>
      <c r="HH96" s="75"/>
      <c r="HI96" s="75"/>
      <c r="HJ96" s="75"/>
      <c r="HK96" s="66"/>
      <c r="HL96" s="75"/>
      <c r="HM96" s="75"/>
    </row>
    <row r="97" spans="3:221" x14ac:dyDescent="0.2">
      <c r="C97" s="426">
        <f t="shared" si="243"/>
        <v>42156</v>
      </c>
      <c r="D97" s="155">
        <f t="shared" si="244"/>
        <v>29</v>
      </c>
      <c r="E97" s="155">
        <f t="shared" si="242"/>
        <v>12307520</v>
      </c>
      <c r="F97" s="155"/>
      <c r="G97" s="438">
        <f t="shared" si="245"/>
        <v>124541.17521367522</v>
      </c>
      <c r="I97" s="444">
        <f>IF(D97="","",'Mx FORECAST'!DX35)</f>
        <v>3391294.0811965801</v>
      </c>
      <c r="J97" s="155">
        <f>IF(D97="","",'Mx FORECAST'!DP35)</f>
        <v>0</v>
      </c>
      <c r="K97" s="155">
        <f>IF(D97="","",'Mx FORECAST'!DQ35)</f>
        <v>0</v>
      </c>
      <c r="M97" s="155">
        <f>IF(D97="","",'Mx FORECAST'!DR35)</f>
        <v>0</v>
      </c>
      <c r="O97" s="155">
        <f>IF(D97="","",'Mx FORECAST'!DS35)</f>
        <v>0</v>
      </c>
      <c r="Q97" s="155">
        <f>IF(D97="","",'Mx FORECAST'!DT35)</f>
        <v>0</v>
      </c>
      <c r="S97" s="155">
        <f>IF(D97="","",'Mx FORECAST'!DU35)</f>
        <v>0</v>
      </c>
      <c r="U97" s="155">
        <f>IF(D97="","",'Mx FORECAST'!DV35)</f>
        <v>0</v>
      </c>
      <c r="W97" s="540">
        <f>IF(D97="","",'Mx FORECAST'!DY35)</f>
        <v>8916225.9188034199</v>
      </c>
      <c r="X97" s="540"/>
      <c r="Y97" s="437">
        <f>IF(D97="","",'Mx FORECAST'!DZ35)</f>
        <v>0.72445349825175342</v>
      </c>
      <c r="AD97" s="155"/>
      <c r="AF97" s="155"/>
      <c r="AH97" s="155"/>
      <c r="AJ97" s="155"/>
      <c r="AK97" s="8"/>
      <c r="AL97" s="8"/>
      <c r="AM97" s="8"/>
      <c r="AN97" s="8"/>
      <c r="AO97" s="8"/>
      <c r="AP97" s="8"/>
      <c r="AQ97" s="7"/>
      <c r="AR97" s="7"/>
      <c r="AS97" s="7"/>
      <c r="AT97" s="7"/>
      <c r="AU97" s="7"/>
      <c r="AV97" s="7"/>
      <c r="AW97" s="7"/>
      <c r="AX97" s="7"/>
      <c r="AY97" s="7"/>
      <c r="AZ97" s="8"/>
      <c r="BZ97" s="9"/>
      <c r="CA97" s="9"/>
      <c r="CB97" s="9"/>
      <c r="DM97" s="44">
        <f t="shared" si="283"/>
        <v>91</v>
      </c>
      <c r="DN97" s="41">
        <f t="shared" si="257"/>
        <v>12666583.5</v>
      </c>
      <c r="DO97" s="41">
        <f t="shared" si="284"/>
        <v>163228.55021367522</v>
      </c>
      <c r="DP97" s="42">
        <f t="shared" si="258"/>
        <v>0</v>
      </c>
      <c r="DQ97" s="42">
        <f t="shared" si="259"/>
        <v>0</v>
      </c>
      <c r="DR97" s="42">
        <f t="shared" si="260"/>
        <v>0</v>
      </c>
      <c r="DS97" s="42">
        <f t="shared" si="261"/>
        <v>0</v>
      </c>
      <c r="DT97" s="42">
        <f t="shared" si="262"/>
        <v>0</v>
      </c>
      <c r="DU97" s="42">
        <f t="shared" si="263"/>
        <v>0</v>
      </c>
      <c r="DV97" s="42">
        <f t="shared" si="264"/>
        <v>0</v>
      </c>
      <c r="DW97" s="42">
        <f t="shared" si="265"/>
        <v>0</v>
      </c>
      <c r="DX97" s="42">
        <f t="shared" si="266"/>
        <v>3033248.2152777892</v>
      </c>
      <c r="DY97" s="42">
        <f>IF(DM97="",DY96,DN97-SUM($DO$6:DO97)+SUM($DP$6:DV97)-SUM($DW$6:DW97))</f>
        <v>9633335.2847222108</v>
      </c>
      <c r="DZ97" s="43">
        <f t="shared" si="285"/>
        <v>0.76053146333596666</v>
      </c>
      <c r="EA97" s="43"/>
      <c r="EB97" s="43" t="str">
        <f t="shared" si="295"/>
        <v>False</v>
      </c>
      <c r="EC97" s="41">
        <f t="shared" si="286"/>
        <v>264480</v>
      </c>
      <c r="ED97" s="41">
        <f t="shared" si="287"/>
        <v>686673.49999999988</v>
      </c>
      <c r="EE97" s="41">
        <f t="shared" si="267"/>
        <v>902280</v>
      </c>
      <c r="EF97" s="41">
        <f t="shared" si="288"/>
        <v>14693.333333333334</v>
      </c>
      <c r="EG97" s="42">
        <f t="shared" si="289"/>
        <v>9537.1319444444434</v>
      </c>
      <c r="EH97" s="42">
        <f t="shared" si="290"/>
        <v>6265.8333333333321</v>
      </c>
      <c r="EI97" s="42">
        <f t="shared" si="268"/>
        <v>14693</v>
      </c>
      <c r="EJ97" s="42">
        <f t="shared" si="269"/>
        <v>181206</v>
      </c>
      <c r="EK97" s="42">
        <f t="shared" si="270"/>
        <v>570191</v>
      </c>
      <c r="EL97" s="42">
        <f>IF(DM97="","",EC97-SUM($EF$6:EF97)+SUM($DP$6:DP97))</f>
        <v>249786.66666666581</v>
      </c>
      <c r="EM97" s="42">
        <f>IF(DM97="","",ED97-SUM($EG$6:EG97)+SUM($DQ$6:DQ97))</f>
        <v>505467.99305555446</v>
      </c>
      <c r="EN97" s="42">
        <f>IF(DM97="","",EE97-SUM($EH$6:EH97)+SUM($DR$6:DR97))</f>
        <v>332089.16666666709</v>
      </c>
      <c r="EO97" s="152">
        <f t="shared" si="271"/>
        <v>0.58666460188017933</v>
      </c>
      <c r="EP97" s="43"/>
      <c r="EQ97" s="42">
        <f t="shared" si="272"/>
        <v>448050</v>
      </c>
      <c r="ER97" s="42">
        <f t="shared" si="273"/>
        <v>248100</v>
      </c>
      <c r="ES97" s="42">
        <f t="shared" si="291"/>
        <v>3733.75</v>
      </c>
      <c r="ET97" s="42">
        <f t="shared" si="292"/>
        <v>6122.9807692307695</v>
      </c>
      <c r="EU97" s="42">
        <f t="shared" si="274"/>
        <v>339771</v>
      </c>
      <c r="EV97" s="42">
        <f t="shared" si="275"/>
        <v>60991</v>
      </c>
      <c r="EW97" s="42">
        <f>IF(DM97="","",IF(DS97&gt;0,DS97,EQ97-SUM($ES$6:ES97)+SUM($DS$6:DS97)))</f>
        <v>108278.75</v>
      </c>
      <c r="EX97" s="42">
        <f>IF(DM97="","",IF(DT97&gt;0,DT97,ER97-SUM($ET$6:ET97)+SUM($DT$6:DT97)))</f>
        <v>187108.7500000007</v>
      </c>
      <c r="EY97" s="43">
        <f t="shared" si="276"/>
        <v>0.75416666666666943</v>
      </c>
      <c r="EZ97" s="43">
        <f t="shared" si="277"/>
        <v>0.24166666666666667</v>
      </c>
      <c r="FA97" s="43"/>
      <c r="FB97" s="42">
        <f t="shared" si="278"/>
        <v>4935000</v>
      </c>
      <c r="FC97" s="42">
        <f t="shared" si="279"/>
        <v>5182000</v>
      </c>
      <c r="FD97" s="41">
        <f t="shared" si="293"/>
        <v>89960.9375</v>
      </c>
      <c r="FE97" s="41">
        <f t="shared" si="294"/>
        <v>32914.583333333336</v>
      </c>
      <c r="FF97" s="42">
        <f t="shared" si="280"/>
        <v>500599</v>
      </c>
      <c r="FG97" s="42">
        <f t="shared" si="281"/>
        <v>1365797</v>
      </c>
      <c r="FH97" s="42">
        <f>IF(DM97="","",IF(DU97&gt;0,DU97,FB97-SUM($FD$6:FD97)+SUM($DU$6:DU97)))</f>
        <v>4434401.0416666642</v>
      </c>
      <c r="FI97" s="42">
        <f>IF(DM97="","",FC97-SUM($FE$6:FE97)+SUM($DV$6:DV97)-SUM($DW$6:DW97))</f>
        <v>3816202.9166666642</v>
      </c>
      <c r="FJ97" s="152">
        <f t="shared" si="282"/>
        <v>0.8155188255741157</v>
      </c>
      <c r="FN97" s="8"/>
      <c r="FO97" s="8"/>
      <c r="FP97" s="8"/>
      <c r="FQ97" s="8"/>
      <c r="FR97" s="8"/>
      <c r="FS97" s="8"/>
      <c r="FT97" s="8"/>
      <c r="FU97" s="8"/>
      <c r="GC97" s="68">
        <f t="shared" si="246"/>
        <v>92</v>
      </c>
      <c r="GD97" s="78">
        <f t="shared" si="247"/>
        <v>0</v>
      </c>
      <c r="GE97" s="309">
        <f t="shared" si="248"/>
        <v>0.74764491423504487</v>
      </c>
      <c r="GF97" s="78">
        <f t="shared" si="249"/>
        <v>0</v>
      </c>
      <c r="GG97" s="310">
        <f t="shared" si="250"/>
        <v>0.57021065378270985</v>
      </c>
      <c r="GH97" s="78">
        <f t="shared" si="251"/>
        <v>0</v>
      </c>
      <c r="GI97" s="310">
        <f t="shared" si="252"/>
        <v>0.23333333333333334</v>
      </c>
      <c r="GJ97" s="311">
        <f t="shared" si="253"/>
        <v>0</v>
      </c>
      <c r="GK97" s="310">
        <f t="shared" si="254"/>
        <v>0.72948717948718234</v>
      </c>
      <c r="GL97" s="311">
        <f t="shared" si="255"/>
        <v>0</v>
      </c>
      <c r="GM97" s="310">
        <f t="shared" si="256"/>
        <v>0.80337337525946373</v>
      </c>
      <c r="HB97" s="24"/>
      <c r="HC97" s="13"/>
      <c r="HD97" s="13"/>
      <c r="HE97" s="13"/>
      <c r="HF97" s="13"/>
      <c r="HG97" s="75"/>
      <c r="HH97" s="75"/>
      <c r="HI97" s="75"/>
      <c r="HJ97" s="75"/>
      <c r="HK97" s="66"/>
      <c r="HL97" s="75"/>
      <c r="HM97" s="75"/>
    </row>
    <row r="98" spans="3:221" x14ac:dyDescent="0.2">
      <c r="C98" s="426">
        <f t="shared" si="243"/>
        <v>42186</v>
      </c>
      <c r="D98" s="155">
        <f t="shared" si="244"/>
        <v>30</v>
      </c>
      <c r="E98" s="155">
        <f t="shared" si="242"/>
        <v>12307520</v>
      </c>
      <c r="F98" s="155"/>
      <c r="G98" s="438">
        <f t="shared" si="245"/>
        <v>124541.17521367522</v>
      </c>
      <c r="I98" s="444">
        <f>IF(D98="","",'Mx FORECAST'!DX36)</f>
        <v>3515835.2564102542</v>
      </c>
      <c r="J98" s="155">
        <f>IF(D98="","",'Mx FORECAST'!DP36)</f>
        <v>0</v>
      </c>
      <c r="K98" s="155">
        <f>IF(D98="","",'Mx FORECAST'!DQ36)</f>
        <v>0</v>
      </c>
      <c r="M98" s="155">
        <f>IF(D98="","",'Mx FORECAST'!DR36)</f>
        <v>0</v>
      </c>
      <c r="O98" s="155">
        <f>IF(D98="","",'Mx FORECAST'!DS36)</f>
        <v>0</v>
      </c>
      <c r="Q98" s="155">
        <f>IF(D98="","",'Mx FORECAST'!DT36)</f>
        <v>0</v>
      </c>
      <c r="S98" s="155">
        <f>IF(D98="","",'Mx FORECAST'!DU36)</f>
        <v>0</v>
      </c>
      <c r="U98" s="155">
        <f>IF(D98="","",'Mx FORECAST'!DV36)</f>
        <v>0</v>
      </c>
      <c r="W98" s="540">
        <f>IF(D98="","",'Mx FORECAST'!DY36)</f>
        <v>8791684.7435897458</v>
      </c>
      <c r="X98" s="540"/>
      <c r="Y98" s="437">
        <f>IF(D98="","",'Mx FORECAST'!DZ36)</f>
        <v>0.7143343860980722</v>
      </c>
      <c r="AD98" s="155"/>
      <c r="AF98" s="155"/>
      <c r="AH98" s="155"/>
      <c r="AJ98" s="155"/>
      <c r="AK98" s="8"/>
      <c r="AL98" s="8"/>
      <c r="AM98" s="8"/>
      <c r="AN98" s="8"/>
      <c r="AO98" s="8"/>
      <c r="AP98" s="8"/>
      <c r="AQ98" s="7"/>
      <c r="AR98" s="7"/>
      <c r="AS98" s="7"/>
      <c r="AT98" s="7"/>
      <c r="AU98" s="7"/>
      <c r="AV98" s="7"/>
      <c r="AW98" s="7"/>
      <c r="AX98" s="7"/>
      <c r="AY98" s="7"/>
      <c r="AZ98" s="8"/>
      <c r="BZ98" s="9"/>
      <c r="CA98" s="9"/>
      <c r="CB98" s="9"/>
      <c r="DM98" s="44">
        <f t="shared" si="283"/>
        <v>92</v>
      </c>
      <c r="DN98" s="41">
        <f t="shared" si="257"/>
        <v>12666583.5</v>
      </c>
      <c r="DO98" s="41">
        <f t="shared" si="284"/>
        <v>163228.55021367522</v>
      </c>
      <c r="DP98" s="42">
        <f t="shared" si="258"/>
        <v>0</v>
      </c>
      <c r="DQ98" s="42">
        <f t="shared" si="259"/>
        <v>0</v>
      </c>
      <c r="DR98" s="42">
        <f t="shared" si="260"/>
        <v>0</v>
      </c>
      <c r="DS98" s="42">
        <f t="shared" si="261"/>
        <v>0</v>
      </c>
      <c r="DT98" s="42">
        <f t="shared" si="262"/>
        <v>0</v>
      </c>
      <c r="DU98" s="42">
        <f t="shared" si="263"/>
        <v>0</v>
      </c>
      <c r="DV98" s="42">
        <f t="shared" si="264"/>
        <v>0</v>
      </c>
      <c r="DW98" s="42">
        <f t="shared" si="265"/>
        <v>0</v>
      </c>
      <c r="DX98" s="42">
        <f t="shared" si="266"/>
        <v>3196476.7654914651</v>
      </c>
      <c r="DY98" s="42">
        <f>IF(DM98="",DY97,DN98-SUM($DO$6:DO98)+SUM($DP$6:DV98)-SUM($DW$6:DW98))</f>
        <v>9470106.7345085349</v>
      </c>
      <c r="DZ98" s="43">
        <f t="shared" si="285"/>
        <v>0.74764491423504487</v>
      </c>
      <c r="EA98" s="43"/>
      <c r="EB98" s="43" t="str">
        <f t="shared" si="295"/>
        <v>False</v>
      </c>
      <c r="EC98" s="41">
        <f t="shared" si="286"/>
        <v>264480</v>
      </c>
      <c r="ED98" s="41">
        <f t="shared" si="287"/>
        <v>686673.49999999988</v>
      </c>
      <c r="EE98" s="41">
        <f t="shared" si="267"/>
        <v>902280</v>
      </c>
      <c r="EF98" s="41">
        <f t="shared" si="288"/>
        <v>14693.333333333334</v>
      </c>
      <c r="EG98" s="42">
        <f t="shared" si="289"/>
        <v>9537.1319444444434</v>
      </c>
      <c r="EH98" s="42">
        <f t="shared" si="290"/>
        <v>6265.8333333333321</v>
      </c>
      <c r="EI98" s="42">
        <f t="shared" si="268"/>
        <v>29387</v>
      </c>
      <c r="EJ98" s="42">
        <f t="shared" si="269"/>
        <v>190743</v>
      </c>
      <c r="EK98" s="42">
        <f t="shared" si="270"/>
        <v>576457</v>
      </c>
      <c r="EL98" s="42">
        <f>IF(DM98="","",EC98-SUM($EF$6:EF98)+SUM($DP$6:DP98))</f>
        <v>235093.33333333256</v>
      </c>
      <c r="EM98" s="42">
        <f>IF(DM98="","",ED98-SUM($EG$6:EG98)+SUM($DQ$6:DQ98))</f>
        <v>495930.86111110996</v>
      </c>
      <c r="EN98" s="42">
        <f>IF(DM98="","",EE98-SUM($EH$6:EH98)+SUM($DR$6:DR98))</f>
        <v>325823.33333333372</v>
      </c>
      <c r="EO98" s="152">
        <f t="shared" si="271"/>
        <v>0.57021065378270985</v>
      </c>
      <c r="EP98" s="43"/>
      <c r="EQ98" s="42">
        <f t="shared" si="272"/>
        <v>448050</v>
      </c>
      <c r="ER98" s="42">
        <f t="shared" si="273"/>
        <v>248100</v>
      </c>
      <c r="ES98" s="42">
        <f t="shared" si="291"/>
        <v>3733.75</v>
      </c>
      <c r="ET98" s="42">
        <f t="shared" si="292"/>
        <v>6122.9807692307695</v>
      </c>
      <c r="EU98" s="42">
        <f t="shared" si="274"/>
        <v>343505</v>
      </c>
      <c r="EV98" s="42">
        <f t="shared" si="275"/>
        <v>67114</v>
      </c>
      <c r="EW98" s="42">
        <f>IF(DM98="","",IF(DS98&gt;0,DS98,EQ98-SUM($ES$6:ES98)+SUM($DS$6:DS98)))</f>
        <v>104545</v>
      </c>
      <c r="EX98" s="42">
        <f>IF(DM98="","",IF(DT98&gt;0,DT98,ER98-SUM($ET$6:ET98)+SUM($DT$6:DT98)))</f>
        <v>180985.76923076995</v>
      </c>
      <c r="EY98" s="43">
        <f t="shared" si="276"/>
        <v>0.72948717948718234</v>
      </c>
      <c r="EZ98" s="43">
        <f t="shared" si="277"/>
        <v>0.23333333333333334</v>
      </c>
      <c r="FA98" s="43"/>
      <c r="FB98" s="42">
        <f t="shared" si="278"/>
        <v>4935000</v>
      </c>
      <c r="FC98" s="42">
        <f t="shared" si="279"/>
        <v>5182000</v>
      </c>
      <c r="FD98" s="41">
        <f t="shared" si="293"/>
        <v>89960.9375</v>
      </c>
      <c r="FE98" s="41">
        <f t="shared" si="294"/>
        <v>32914.583333333336</v>
      </c>
      <c r="FF98" s="42">
        <f t="shared" si="280"/>
        <v>590560</v>
      </c>
      <c r="FG98" s="42">
        <f t="shared" si="281"/>
        <v>1398712</v>
      </c>
      <c r="FH98" s="42">
        <f>IF(DM98="","",IF(DU98&gt;0,DU98,FB98-SUM($FD$6:FD98)+SUM($DU$6:DU98)))</f>
        <v>4344440.1041666642</v>
      </c>
      <c r="FI98" s="42">
        <f>IF(DM98="","",FC98-SUM($FE$6:FE98)+SUM($DV$6:DV98)-SUM($DW$6:DW98))</f>
        <v>3783288.3333333302</v>
      </c>
      <c r="FJ98" s="152">
        <f t="shared" si="282"/>
        <v>0.80337337525946373</v>
      </c>
      <c r="FN98" s="8"/>
      <c r="FO98" s="8"/>
      <c r="FP98" s="8"/>
      <c r="FQ98" s="8"/>
      <c r="FR98" s="8"/>
      <c r="FS98" s="8"/>
      <c r="FT98" s="8"/>
      <c r="FU98" s="8"/>
      <c r="GC98" s="68">
        <f t="shared" si="246"/>
        <v>93</v>
      </c>
      <c r="GD98" s="78">
        <f t="shared" si="247"/>
        <v>0</v>
      </c>
      <c r="GE98" s="309">
        <f t="shared" si="248"/>
        <v>0.73475836513412307</v>
      </c>
      <c r="GF98" s="78">
        <f t="shared" si="249"/>
        <v>0</v>
      </c>
      <c r="GG98" s="310">
        <f t="shared" si="250"/>
        <v>0.55375670568524049</v>
      </c>
      <c r="GH98" s="78">
        <f t="shared" si="251"/>
        <v>0</v>
      </c>
      <c r="GI98" s="310">
        <f t="shared" si="252"/>
        <v>0.22500000000000001</v>
      </c>
      <c r="GJ98" s="311">
        <f t="shared" si="253"/>
        <v>0</v>
      </c>
      <c r="GK98" s="310">
        <f t="shared" si="254"/>
        <v>0.70480769230769524</v>
      </c>
      <c r="GL98" s="311">
        <f t="shared" si="255"/>
        <v>0</v>
      </c>
      <c r="GM98" s="310">
        <f t="shared" si="256"/>
        <v>0.79122792494481187</v>
      </c>
      <c r="HA98" s="13"/>
      <c r="HB98" s="24"/>
      <c r="HC98" s="13"/>
      <c r="HD98" s="13"/>
      <c r="HE98" s="13"/>
      <c r="HF98" s="75"/>
      <c r="HG98" s="75"/>
      <c r="HH98" s="75"/>
      <c r="HI98" s="75"/>
      <c r="HJ98" s="66"/>
      <c r="HK98" s="75"/>
      <c r="HL98" s="75"/>
    </row>
    <row r="99" spans="3:221" x14ac:dyDescent="0.2">
      <c r="C99" s="426">
        <f t="shared" si="243"/>
        <v>42217</v>
      </c>
      <c r="D99" s="155">
        <f t="shared" si="244"/>
        <v>31</v>
      </c>
      <c r="E99" s="155">
        <f t="shared" si="242"/>
        <v>12307520</v>
      </c>
      <c r="F99" s="155"/>
      <c r="G99" s="438">
        <f t="shared" si="245"/>
        <v>124541.17521367522</v>
      </c>
      <c r="I99" s="444">
        <f>IF(D99="","",'Mx FORECAST'!DX37)</f>
        <v>3640376.4316239282</v>
      </c>
      <c r="J99" s="155">
        <f>IF(D99="","",'Mx FORECAST'!DP37)</f>
        <v>0</v>
      </c>
      <c r="K99" s="155">
        <f>IF(D99="","",'Mx FORECAST'!DQ37)</f>
        <v>0</v>
      </c>
      <c r="M99" s="155">
        <f>IF(D99="","",'Mx FORECAST'!DR37)</f>
        <v>0</v>
      </c>
      <c r="O99" s="155">
        <f>IF(D99="","",'Mx FORECAST'!DS37)</f>
        <v>0</v>
      </c>
      <c r="Q99" s="155">
        <f>IF(D99="","",'Mx FORECAST'!DT37)</f>
        <v>0</v>
      </c>
      <c r="S99" s="155">
        <f>IF(D99="","",'Mx FORECAST'!DU37)</f>
        <v>0</v>
      </c>
      <c r="U99" s="155">
        <f>IF(D99="","",'Mx FORECAST'!DV37)</f>
        <v>0</v>
      </c>
      <c r="W99" s="540">
        <f>IF(D99="","",'Mx FORECAST'!DY37)</f>
        <v>8667143.5683760718</v>
      </c>
      <c r="X99" s="540"/>
      <c r="Y99" s="437">
        <f>IF(D99="","",'Mx FORECAST'!DZ37)</f>
        <v>0.7042152739443911</v>
      </c>
      <c r="AD99" s="155"/>
      <c r="AF99" s="155"/>
      <c r="AH99" s="155"/>
      <c r="AJ99" s="155"/>
      <c r="AK99" s="8"/>
      <c r="AL99" s="8"/>
      <c r="AM99" s="8"/>
      <c r="AN99" s="8"/>
      <c r="AO99" s="8"/>
      <c r="AP99" s="8"/>
      <c r="AQ99" s="7"/>
      <c r="AR99" s="7"/>
      <c r="AS99" s="7"/>
      <c r="AT99" s="7"/>
      <c r="AU99" s="7"/>
      <c r="AV99" s="7"/>
      <c r="AW99" s="7"/>
      <c r="AX99" s="7"/>
      <c r="AY99" s="7"/>
      <c r="AZ99" s="8"/>
      <c r="BZ99" s="9"/>
      <c r="CA99" s="9"/>
      <c r="CB99" s="9"/>
      <c r="DM99" s="44">
        <f t="shared" si="283"/>
        <v>93</v>
      </c>
      <c r="DN99" s="41">
        <f t="shared" si="257"/>
        <v>12666583.5</v>
      </c>
      <c r="DO99" s="41">
        <f t="shared" si="284"/>
        <v>163228.55021367522</v>
      </c>
      <c r="DP99" s="42">
        <f t="shared" si="258"/>
        <v>0</v>
      </c>
      <c r="DQ99" s="42">
        <f t="shared" si="259"/>
        <v>0</v>
      </c>
      <c r="DR99" s="42">
        <f t="shared" si="260"/>
        <v>0</v>
      </c>
      <c r="DS99" s="42">
        <f t="shared" si="261"/>
        <v>0</v>
      </c>
      <c r="DT99" s="42">
        <f t="shared" si="262"/>
        <v>0</v>
      </c>
      <c r="DU99" s="42">
        <f t="shared" si="263"/>
        <v>0</v>
      </c>
      <c r="DV99" s="42">
        <f t="shared" si="264"/>
        <v>0</v>
      </c>
      <c r="DW99" s="42">
        <f t="shared" si="265"/>
        <v>0</v>
      </c>
      <c r="DX99" s="42">
        <f t="shared" si="266"/>
        <v>3359705.3157051411</v>
      </c>
      <c r="DY99" s="42">
        <f>IF(DM99="",DY98,DN99-SUM($DO$6:DO99)+SUM($DP$6:DV99)-SUM($DW$6:DW99))</f>
        <v>9306878.1842948589</v>
      </c>
      <c r="DZ99" s="43">
        <f t="shared" si="285"/>
        <v>0.73475836513412307</v>
      </c>
      <c r="EA99" s="43"/>
      <c r="EB99" s="43" t="str">
        <f t="shared" si="295"/>
        <v>False</v>
      </c>
      <c r="EC99" s="41">
        <f t="shared" si="286"/>
        <v>264480</v>
      </c>
      <c r="ED99" s="41">
        <f t="shared" si="287"/>
        <v>686673.49999999988</v>
      </c>
      <c r="EE99" s="41">
        <f t="shared" si="267"/>
        <v>902280</v>
      </c>
      <c r="EF99" s="41">
        <f t="shared" si="288"/>
        <v>14693.333333333334</v>
      </c>
      <c r="EG99" s="42">
        <f t="shared" si="289"/>
        <v>9537.1319444444434</v>
      </c>
      <c r="EH99" s="42">
        <f t="shared" si="290"/>
        <v>6265.8333333333321</v>
      </c>
      <c r="EI99" s="42">
        <f t="shared" si="268"/>
        <v>44080</v>
      </c>
      <c r="EJ99" s="42">
        <f t="shared" si="269"/>
        <v>200280</v>
      </c>
      <c r="EK99" s="42">
        <f t="shared" si="270"/>
        <v>582723</v>
      </c>
      <c r="EL99" s="42">
        <f>IF(DM99="","",EC99-SUM($EF$6:EF99)+SUM($DP$6:DP99))</f>
        <v>220399.9999999993</v>
      </c>
      <c r="EM99" s="42">
        <f>IF(DM99="","",ED99-SUM($EG$6:EG99)+SUM($DQ$6:DQ99))</f>
        <v>486393.72916666546</v>
      </c>
      <c r="EN99" s="42">
        <f>IF(DM99="","",EE99-SUM($EH$6:EH99)+SUM($DR$6:DR99))</f>
        <v>319557.50000000035</v>
      </c>
      <c r="EO99" s="152">
        <f t="shared" si="271"/>
        <v>0.55375670568524049</v>
      </c>
      <c r="EP99" s="43"/>
      <c r="EQ99" s="42">
        <f t="shared" si="272"/>
        <v>448050</v>
      </c>
      <c r="ER99" s="42">
        <f t="shared" si="273"/>
        <v>248100</v>
      </c>
      <c r="ES99" s="42">
        <f t="shared" si="291"/>
        <v>3733.75</v>
      </c>
      <c r="ET99" s="42">
        <f t="shared" si="292"/>
        <v>6122.9807692307695</v>
      </c>
      <c r="EU99" s="42">
        <f t="shared" si="274"/>
        <v>347239</v>
      </c>
      <c r="EV99" s="42">
        <f t="shared" si="275"/>
        <v>73237</v>
      </c>
      <c r="EW99" s="42">
        <f>IF(DM99="","",IF(DS99&gt;0,DS99,EQ99-SUM($ES$6:ES99)+SUM($DS$6:DS99)))</f>
        <v>100811.25</v>
      </c>
      <c r="EX99" s="42">
        <f>IF(DM99="","",IF(DT99&gt;0,DT99,ER99-SUM($ET$6:ET99)+SUM($DT$6:DT99)))</f>
        <v>174862.7884615392</v>
      </c>
      <c r="EY99" s="43">
        <f t="shared" si="276"/>
        <v>0.70480769230769524</v>
      </c>
      <c r="EZ99" s="43">
        <f t="shared" si="277"/>
        <v>0.22500000000000001</v>
      </c>
      <c r="FA99" s="43"/>
      <c r="FB99" s="42">
        <f t="shared" si="278"/>
        <v>4935000</v>
      </c>
      <c r="FC99" s="42">
        <f t="shared" si="279"/>
        <v>5182000</v>
      </c>
      <c r="FD99" s="41">
        <f t="shared" si="293"/>
        <v>89960.9375</v>
      </c>
      <c r="FE99" s="41">
        <f t="shared" si="294"/>
        <v>32914.583333333336</v>
      </c>
      <c r="FF99" s="42">
        <f t="shared" si="280"/>
        <v>680521</v>
      </c>
      <c r="FG99" s="42">
        <f t="shared" si="281"/>
        <v>1431626</v>
      </c>
      <c r="FH99" s="42">
        <f>IF(DM99="","",IF(DU99&gt;0,DU99,FB99-SUM($FD$6:FD99)+SUM($DU$6:DU99)))</f>
        <v>4254479.1666666642</v>
      </c>
      <c r="FI99" s="42">
        <f>IF(DM99="","",FC99-SUM($FE$6:FE99)+SUM($DV$6:DV99)-SUM($DW$6:DW99))</f>
        <v>3750373.7499999972</v>
      </c>
      <c r="FJ99" s="152">
        <f t="shared" si="282"/>
        <v>0.79122792494481187</v>
      </c>
      <c r="FN99" s="8"/>
      <c r="FO99" s="8"/>
      <c r="FP99" s="8"/>
      <c r="FQ99" s="8"/>
      <c r="FR99" s="8"/>
      <c r="FS99" s="8"/>
      <c r="FT99" s="8"/>
      <c r="FU99" s="8"/>
      <c r="GC99" s="68">
        <f t="shared" si="246"/>
        <v>94</v>
      </c>
      <c r="GD99" s="78">
        <f t="shared" si="247"/>
        <v>0</v>
      </c>
      <c r="GE99" s="309">
        <f t="shared" si="248"/>
        <v>0.72187181603320127</v>
      </c>
      <c r="GF99" s="78">
        <f t="shared" si="249"/>
        <v>0</v>
      </c>
      <c r="GG99" s="310">
        <f t="shared" si="250"/>
        <v>0.53730275758777102</v>
      </c>
      <c r="GH99" s="78">
        <f t="shared" si="251"/>
        <v>0</v>
      </c>
      <c r="GI99" s="310">
        <f t="shared" si="252"/>
        <v>0.21666666666666667</v>
      </c>
      <c r="GJ99" s="311">
        <f t="shared" si="253"/>
        <v>0</v>
      </c>
      <c r="GK99" s="310">
        <f t="shared" si="254"/>
        <v>0.68012820512820815</v>
      </c>
      <c r="GL99" s="311">
        <f t="shared" si="255"/>
        <v>0</v>
      </c>
      <c r="GM99" s="310">
        <f t="shared" si="256"/>
        <v>0.77908247463016</v>
      </c>
      <c r="HA99" s="13"/>
      <c r="HB99" s="24"/>
      <c r="HC99" s="13"/>
      <c r="HD99" s="13"/>
      <c r="HE99" s="13"/>
      <c r="HF99" s="75"/>
      <c r="HG99" s="75"/>
      <c r="HH99" s="75"/>
      <c r="HI99" s="75"/>
      <c r="HJ99" s="66"/>
      <c r="HK99" s="75"/>
      <c r="HL99" s="75"/>
    </row>
    <row r="100" spans="3:221" x14ac:dyDescent="0.2">
      <c r="C100" s="426">
        <f t="shared" si="243"/>
        <v>42248</v>
      </c>
      <c r="D100" s="155">
        <f t="shared" si="244"/>
        <v>32</v>
      </c>
      <c r="E100" s="155">
        <f t="shared" ref="E100:E131" si="296">IF(D100="","",DN38)</f>
        <v>12307520</v>
      </c>
      <c r="F100" s="155"/>
      <c r="G100" s="438">
        <f t="shared" si="245"/>
        <v>124541.17521367522</v>
      </c>
      <c r="I100" s="444">
        <f>IF(D100="","",'Mx FORECAST'!DX38)</f>
        <v>3764917.6068376042</v>
      </c>
      <c r="J100" s="155">
        <f>IF(D100="","",'Mx FORECAST'!DP38)</f>
        <v>0</v>
      </c>
      <c r="K100" s="155">
        <f>IF(D100="","",'Mx FORECAST'!DQ38)</f>
        <v>0</v>
      </c>
      <c r="M100" s="155">
        <f>IF(D100="","",'Mx FORECAST'!DR38)</f>
        <v>0</v>
      </c>
      <c r="O100" s="155">
        <f>IF(D100="","",'Mx FORECAST'!DS38)</f>
        <v>0</v>
      </c>
      <c r="Q100" s="155">
        <f>IF(D100="","",'Mx FORECAST'!DT38)</f>
        <v>0</v>
      </c>
      <c r="S100" s="155">
        <f>IF(D100="","",'Mx FORECAST'!DU38)</f>
        <v>0</v>
      </c>
      <c r="U100" s="155">
        <f>IF(D100="","",'Mx FORECAST'!DV38)</f>
        <v>0</v>
      </c>
      <c r="W100" s="540">
        <f>IF(D100="","",'Mx FORECAST'!DY38)</f>
        <v>8542602.3931623958</v>
      </c>
      <c r="X100" s="540"/>
      <c r="Y100" s="437">
        <f>IF(D100="","",'Mx FORECAST'!DZ38)</f>
        <v>0.69409616179070976</v>
      </c>
      <c r="AD100" s="155"/>
      <c r="AF100" s="155"/>
      <c r="AH100" s="155"/>
      <c r="AJ100" s="155"/>
      <c r="AK100" s="8"/>
      <c r="AL100" s="8"/>
      <c r="AM100" s="8"/>
      <c r="AN100" s="8"/>
      <c r="AO100" s="8"/>
      <c r="AP100" s="8"/>
      <c r="AQ100" s="7"/>
      <c r="AR100" s="7"/>
      <c r="AS100" s="7"/>
      <c r="AT100" s="7"/>
      <c r="AU100" s="7"/>
      <c r="AV100" s="7"/>
      <c r="AW100" s="7"/>
      <c r="AX100" s="7"/>
      <c r="AY100" s="7"/>
      <c r="AZ100" s="8"/>
      <c r="BZ100" s="9"/>
      <c r="CA100" s="9"/>
      <c r="CB100" s="9"/>
      <c r="DM100" s="44">
        <f t="shared" si="283"/>
        <v>94</v>
      </c>
      <c r="DN100" s="41">
        <f t="shared" si="257"/>
        <v>12666583.5</v>
      </c>
      <c r="DO100" s="41">
        <f t="shared" si="284"/>
        <v>163228.55021367522</v>
      </c>
      <c r="DP100" s="42">
        <f t="shared" si="258"/>
        <v>0</v>
      </c>
      <c r="DQ100" s="42">
        <f t="shared" si="259"/>
        <v>0</v>
      </c>
      <c r="DR100" s="42">
        <f t="shared" si="260"/>
        <v>0</v>
      </c>
      <c r="DS100" s="42">
        <f t="shared" si="261"/>
        <v>0</v>
      </c>
      <c r="DT100" s="42">
        <f t="shared" si="262"/>
        <v>0</v>
      </c>
      <c r="DU100" s="42">
        <f t="shared" si="263"/>
        <v>0</v>
      </c>
      <c r="DV100" s="42">
        <f t="shared" si="264"/>
        <v>0</v>
      </c>
      <c r="DW100" s="42">
        <f t="shared" si="265"/>
        <v>0</v>
      </c>
      <c r="DX100" s="42">
        <f t="shared" si="266"/>
        <v>3522933.865918817</v>
      </c>
      <c r="DY100" s="42">
        <f>IF(DM100="",DY99,DN100-SUM($DO$6:DO100)+SUM($DP$6:DV100)-SUM($DW$6:DW100))</f>
        <v>9143649.634081183</v>
      </c>
      <c r="DZ100" s="43">
        <f t="shared" si="285"/>
        <v>0.72187181603320127</v>
      </c>
      <c r="EA100" s="43"/>
      <c r="EB100" s="43" t="str">
        <f t="shared" si="295"/>
        <v>False</v>
      </c>
      <c r="EC100" s="41">
        <f t="shared" si="286"/>
        <v>264480</v>
      </c>
      <c r="ED100" s="41">
        <f t="shared" si="287"/>
        <v>686673.49999999988</v>
      </c>
      <c r="EE100" s="41">
        <f t="shared" si="267"/>
        <v>902280</v>
      </c>
      <c r="EF100" s="41">
        <f t="shared" si="288"/>
        <v>14693.333333333334</v>
      </c>
      <c r="EG100" s="42">
        <f t="shared" si="289"/>
        <v>9537.1319444444434</v>
      </c>
      <c r="EH100" s="42">
        <f t="shared" si="290"/>
        <v>6265.8333333333321</v>
      </c>
      <c r="EI100" s="42">
        <f t="shared" si="268"/>
        <v>58773</v>
      </c>
      <c r="EJ100" s="42">
        <f t="shared" si="269"/>
        <v>209817</v>
      </c>
      <c r="EK100" s="42">
        <f t="shared" si="270"/>
        <v>588988</v>
      </c>
      <c r="EL100" s="42">
        <f>IF(DM100="","",EC100-SUM($EF$6:EF100)+SUM($DP$6:DP100))</f>
        <v>205706.66666666605</v>
      </c>
      <c r="EM100" s="42">
        <f>IF(DM100="","",ED100-SUM($EG$6:EG100)+SUM($DQ$6:DQ100))</f>
        <v>476856.59722222097</v>
      </c>
      <c r="EN100" s="42">
        <f>IF(DM100="","",EE100-SUM($EH$6:EH100)+SUM($DR$6:DR100))</f>
        <v>313291.66666666698</v>
      </c>
      <c r="EO100" s="152">
        <f t="shared" si="271"/>
        <v>0.53730275758777102</v>
      </c>
      <c r="EP100" s="43"/>
      <c r="EQ100" s="42">
        <f t="shared" si="272"/>
        <v>448050</v>
      </c>
      <c r="ER100" s="42">
        <f t="shared" si="273"/>
        <v>248100</v>
      </c>
      <c r="ES100" s="42">
        <f t="shared" si="291"/>
        <v>3733.75</v>
      </c>
      <c r="ET100" s="42">
        <f t="shared" si="292"/>
        <v>6122.9807692307695</v>
      </c>
      <c r="EU100" s="42">
        <f t="shared" si="274"/>
        <v>350973</v>
      </c>
      <c r="EV100" s="42">
        <f t="shared" si="275"/>
        <v>79360</v>
      </c>
      <c r="EW100" s="42">
        <f>IF(DM100="","",IF(DS100&gt;0,DS100,EQ100-SUM($ES$6:ES100)+SUM($DS$6:DS100)))</f>
        <v>97077.5</v>
      </c>
      <c r="EX100" s="42">
        <f>IF(DM100="","",IF(DT100&gt;0,DT100,ER100-SUM($ET$6:ET100)+SUM($DT$6:DT100)))</f>
        <v>168739.80769230844</v>
      </c>
      <c r="EY100" s="43">
        <f t="shared" si="276"/>
        <v>0.68012820512820815</v>
      </c>
      <c r="EZ100" s="43">
        <f t="shared" si="277"/>
        <v>0.21666666666666667</v>
      </c>
      <c r="FA100" s="43"/>
      <c r="FB100" s="42">
        <f t="shared" si="278"/>
        <v>4935000</v>
      </c>
      <c r="FC100" s="42">
        <f t="shared" si="279"/>
        <v>5182000</v>
      </c>
      <c r="FD100" s="41">
        <f t="shared" si="293"/>
        <v>89960.9375</v>
      </c>
      <c r="FE100" s="41">
        <f t="shared" si="294"/>
        <v>32914.583333333336</v>
      </c>
      <c r="FF100" s="42">
        <f t="shared" si="280"/>
        <v>770482</v>
      </c>
      <c r="FG100" s="42">
        <f t="shared" si="281"/>
        <v>1464541</v>
      </c>
      <c r="FH100" s="42">
        <f>IF(DM100="","",IF(DU100&gt;0,DU100,FB100-SUM($FD$6:FD100)+SUM($DU$6:DU100)))</f>
        <v>4164518.2291666642</v>
      </c>
      <c r="FI100" s="42">
        <f>IF(DM100="","",FC100-SUM($FE$6:FE100)+SUM($DV$6:DV100)-SUM($DW$6:DW100))</f>
        <v>3717459.1666666642</v>
      </c>
      <c r="FJ100" s="152">
        <f t="shared" si="282"/>
        <v>0.77908247463016</v>
      </c>
      <c r="FN100" s="8"/>
      <c r="FO100" s="8"/>
      <c r="FP100" s="8"/>
      <c r="FQ100" s="8"/>
      <c r="FR100" s="8"/>
      <c r="FS100" s="8"/>
      <c r="FT100" s="8"/>
      <c r="FU100" s="8"/>
      <c r="GC100" s="68">
        <f t="shared" si="246"/>
        <v>95</v>
      </c>
      <c r="GD100" s="78">
        <f t="shared" si="247"/>
        <v>0</v>
      </c>
      <c r="GE100" s="309">
        <f t="shared" si="248"/>
        <v>0.70898526693227948</v>
      </c>
      <c r="GF100" s="78">
        <f t="shared" si="249"/>
        <v>0</v>
      </c>
      <c r="GG100" s="310">
        <f t="shared" si="250"/>
        <v>0.52084880949030155</v>
      </c>
      <c r="GH100" s="78">
        <f t="shared" si="251"/>
        <v>0</v>
      </c>
      <c r="GI100" s="310">
        <f t="shared" si="252"/>
        <v>0.20833333333333334</v>
      </c>
      <c r="GJ100" s="311">
        <f t="shared" si="253"/>
        <v>0</v>
      </c>
      <c r="GK100" s="310">
        <f t="shared" si="254"/>
        <v>0.65544871794872106</v>
      </c>
      <c r="GL100" s="311">
        <f t="shared" si="255"/>
        <v>0</v>
      </c>
      <c r="GM100" s="310">
        <f t="shared" si="256"/>
        <v>0.76693702431550803</v>
      </c>
      <c r="HA100" s="13"/>
      <c r="HB100" s="24"/>
      <c r="HC100" s="13"/>
      <c r="HD100" s="13"/>
      <c r="HE100" s="13"/>
      <c r="HF100" s="75"/>
      <c r="HG100" s="75"/>
      <c r="HH100" s="75"/>
      <c r="HI100" s="75"/>
      <c r="HJ100" s="66"/>
      <c r="HK100" s="75"/>
      <c r="HL100" s="75"/>
    </row>
    <row r="101" spans="3:221" x14ac:dyDescent="0.2">
      <c r="C101" s="426">
        <f t="shared" si="243"/>
        <v>42278</v>
      </c>
      <c r="D101" s="155">
        <f t="shared" si="244"/>
        <v>33</v>
      </c>
      <c r="E101" s="155">
        <f t="shared" si="296"/>
        <v>12307520</v>
      </c>
      <c r="F101" s="155"/>
      <c r="G101" s="438">
        <f t="shared" ref="G101:G132" si="297">IF(D101="","",DO39)</f>
        <v>124541.17521367522</v>
      </c>
      <c r="I101" s="444">
        <f>IF(D101="","",'Mx FORECAST'!DX39)</f>
        <v>3889458.7820512801</v>
      </c>
      <c r="J101" s="155">
        <f>IF(D101="","",'Mx FORECAST'!DP39)</f>
        <v>0</v>
      </c>
      <c r="K101" s="155">
        <f>IF(D101="","",'Mx FORECAST'!DQ39)</f>
        <v>0</v>
      </c>
      <c r="M101" s="155">
        <f>IF(D101="","",'Mx FORECAST'!DR39)</f>
        <v>0</v>
      </c>
      <c r="O101" s="155">
        <f>IF(D101="","",'Mx FORECAST'!DS39)</f>
        <v>0</v>
      </c>
      <c r="Q101" s="155">
        <f>IF(D101="","",'Mx FORECAST'!DT39)</f>
        <v>0</v>
      </c>
      <c r="S101" s="155">
        <f>IF(D101="","",'Mx FORECAST'!DU39)</f>
        <v>0</v>
      </c>
      <c r="U101" s="155">
        <f>IF(D101="","",'Mx FORECAST'!DV39)</f>
        <v>0</v>
      </c>
      <c r="W101" s="540">
        <f>IF(D101="","",'Mx FORECAST'!DY39)</f>
        <v>8418061.2179487199</v>
      </c>
      <c r="X101" s="540"/>
      <c r="Y101" s="437">
        <f>IF(D101="","",'Mx FORECAST'!DZ39)</f>
        <v>0.68397704963702843</v>
      </c>
      <c r="AD101" s="155"/>
      <c r="AF101" s="155"/>
      <c r="AH101" s="155"/>
      <c r="AJ101" s="155"/>
      <c r="AK101" s="8"/>
      <c r="AL101" s="8"/>
      <c r="AM101" s="8"/>
      <c r="AN101" s="8"/>
      <c r="AO101" s="8"/>
      <c r="AP101" s="8"/>
      <c r="AQ101" s="7"/>
      <c r="AR101" s="7"/>
      <c r="AS101" s="7"/>
      <c r="AT101" s="7"/>
      <c r="AU101" s="7"/>
      <c r="AV101" s="7"/>
      <c r="AW101" s="7"/>
      <c r="AX101" s="7"/>
      <c r="AY101" s="7"/>
      <c r="AZ101" s="8"/>
      <c r="BZ101" s="9"/>
      <c r="CA101" s="9"/>
      <c r="CB101" s="9"/>
      <c r="DM101" s="44">
        <f t="shared" si="283"/>
        <v>95</v>
      </c>
      <c r="DN101" s="41">
        <f t="shared" si="257"/>
        <v>12666583.5</v>
      </c>
      <c r="DO101" s="41">
        <f t="shared" si="284"/>
        <v>163228.55021367522</v>
      </c>
      <c r="DP101" s="42">
        <f t="shared" si="258"/>
        <v>0</v>
      </c>
      <c r="DQ101" s="42">
        <f t="shared" si="259"/>
        <v>0</v>
      </c>
      <c r="DR101" s="42">
        <f t="shared" si="260"/>
        <v>0</v>
      </c>
      <c r="DS101" s="42">
        <f t="shared" si="261"/>
        <v>0</v>
      </c>
      <c r="DT101" s="42">
        <f t="shared" si="262"/>
        <v>0</v>
      </c>
      <c r="DU101" s="42">
        <f t="shared" si="263"/>
        <v>0</v>
      </c>
      <c r="DV101" s="42">
        <f t="shared" si="264"/>
        <v>0</v>
      </c>
      <c r="DW101" s="42">
        <f t="shared" si="265"/>
        <v>0</v>
      </c>
      <c r="DX101" s="42">
        <f t="shared" si="266"/>
        <v>3686162.4161324929</v>
      </c>
      <c r="DY101" s="42">
        <f>IF(DM101="",DY100,DN101-SUM($DO$6:DO101)+SUM($DP$6:DV101)-SUM($DW$6:DW101))</f>
        <v>8980421.0838675071</v>
      </c>
      <c r="DZ101" s="43">
        <f t="shared" si="285"/>
        <v>0.70898526693227948</v>
      </c>
      <c r="EA101" s="43"/>
      <c r="EB101" s="43" t="str">
        <f t="shared" si="295"/>
        <v>False</v>
      </c>
      <c r="EC101" s="41">
        <f t="shared" si="286"/>
        <v>264480</v>
      </c>
      <c r="ED101" s="41">
        <f t="shared" si="287"/>
        <v>686673.49999999988</v>
      </c>
      <c r="EE101" s="41">
        <f t="shared" si="267"/>
        <v>902280</v>
      </c>
      <c r="EF101" s="41">
        <f t="shared" si="288"/>
        <v>14693.333333333334</v>
      </c>
      <c r="EG101" s="42">
        <f t="shared" si="289"/>
        <v>9537.1319444444434</v>
      </c>
      <c r="EH101" s="42">
        <f t="shared" si="290"/>
        <v>6265.8333333333321</v>
      </c>
      <c r="EI101" s="42">
        <f t="shared" si="268"/>
        <v>73467</v>
      </c>
      <c r="EJ101" s="42">
        <f t="shared" si="269"/>
        <v>219354</v>
      </c>
      <c r="EK101" s="42">
        <f t="shared" si="270"/>
        <v>595254</v>
      </c>
      <c r="EL101" s="42">
        <f>IF(DM101="","",EC101-SUM($EF$6:EF101)+SUM($DP$6:DP101))</f>
        <v>191013.33333333279</v>
      </c>
      <c r="EM101" s="42">
        <f>IF(DM101="","",ED101-SUM($EG$6:EG101)+SUM($DQ$6:DQ101))</f>
        <v>467319.46527777647</v>
      </c>
      <c r="EN101" s="42">
        <f>IF(DM101="","",EE101-SUM($EH$6:EH101)+SUM($DR$6:DR101))</f>
        <v>307025.8333333336</v>
      </c>
      <c r="EO101" s="152">
        <f t="shared" si="271"/>
        <v>0.52084880949030155</v>
      </c>
      <c r="EP101" s="43"/>
      <c r="EQ101" s="42">
        <f t="shared" si="272"/>
        <v>448050</v>
      </c>
      <c r="ER101" s="42">
        <f t="shared" si="273"/>
        <v>248100</v>
      </c>
      <c r="ES101" s="42">
        <f t="shared" si="291"/>
        <v>3733.75</v>
      </c>
      <c r="ET101" s="42">
        <f t="shared" si="292"/>
        <v>6122.9807692307695</v>
      </c>
      <c r="EU101" s="42">
        <f t="shared" si="274"/>
        <v>354706</v>
      </c>
      <c r="EV101" s="42">
        <f t="shared" si="275"/>
        <v>85483</v>
      </c>
      <c r="EW101" s="42">
        <f>IF(DM101="","",IF(DS101&gt;0,DS101,EQ101-SUM($ES$6:ES101)+SUM($DS$6:DS101)))</f>
        <v>93343.75</v>
      </c>
      <c r="EX101" s="42">
        <f>IF(DM101="","",IF(DT101&gt;0,DT101,ER101-SUM($ET$6:ET101)+SUM($DT$6:DT101)))</f>
        <v>162616.82692307769</v>
      </c>
      <c r="EY101" s="43">
        <f t="shared" si="276"/>
        <v>0.65544871794872106</v>
      </c>
      <c r="EZ101" s="43">
        <f t="shared" si="277"/>
        <v>0.20833333333333334</v>
      </c>
      <c r="FA101" s="43"/>
      <c r="FB101" s="42">
        <f t="shared" si="278"/>
        <v>4935000</v>
      </c>
      <c r="FC101" s="42">
        <f t="shared" si="279"/>
        <v>5182000</v>
      </c>
      <c r="FD101" s="41">
        <f t="shared" si="293"/>
        <v>89960.9375</v>
      </c>
      <c r="FE101" s="41">
        <f t="shared" si="294"/>
        <v>32914.583333333336</v>
      </c>
      <c r="FF101" s="42">
        <f t="shared" si="280"/>
        <v>860443</v>
      </c>
      <c r="FG101" s="42">
        <f t="shared" si="281"/>
        <v>1497455</v>
      </c>
      <c r="FH101" s="42">
        <f>IF(DM101="","",IF(DU101&gt;0,DU101,FB101-SUM($FD$6:FD101)+SUM($DU$6:DU101)))</f>
        <v>4074557.2916666642</v>
      </c>
      <c r="FI101" s="42">
        <f>IF(DM101="","",FC101-SUM($FE$6:FE101)+SUM($DV$6:DV101)-SUM($DW$6:DW101))</f>
        <v>3684544.5833333302</v>
      </c>
      <c r="FJ101" s="152">
        <f t="shared" si="282"/>
        <v>0.76693702431550803</v>
      </c>
      <c r="FN101" s="8"/>
      <c r="FO101" s="8"/>
      <c r="FP101" s="8"/>
      <c r="FQ101" s="8"/>
      <c r="FR101" s="8"/>
      <c r="FS101" s="8"/>
      <c r="FT101" s="8"/>
      <c r="FU101" s="8"/>
      <c r="GC101" s="68">
        <f t="shared" ref="GC101:GC132" si="298">DM102</f>
        <v>96</v>
      </c>
      <c r="GD101" s="78">
        <f t="shared" ref="GD101:GD132" si="299">IF(DM102="","",SUM(DP102:DV102))</f>
        <v>0</v>
      </c>
      <c r="GE101" s="309">
        <f t="shared" ref="GE101:GE132" si="300">IF(DM102="",DZ102,DZ102)</f>
        <v>0.69609871783135768</v>
      </c>
      <c r="GF101" s="78">
        <f t="shared" ref="GF101:GF132" si="301">IF(DM102="","",SUM(DP102:DR102))</f>
        <v>0</v>
      </c>
      <c r="GG101" s="310">
        <f t="shared" ref="GG101:GG132" si="302">IF(DM102="",GG100,EO102)</f>
        <v>0.50439486139283218</v>
      </c>
      <c r="GH101" s="78">
        <f t="shared" ref="GH101:GH132" si="303">IF(DM102="","",DS102)</f>
        <v>0</v>
      </c>
      <c r="GI101" s="310">
        <f t="shared" ref="GI101:GI132" si="304">IF(DM102="",GI100,EZ102)</f>
        <v>0.2</v>
      </c>
      <c r="GJ101" s="311">
        <f t="shared" ref="GJ101:GJ132" si="305">IF(DM102="","",DT102)</f>
        <v>0</v>
      </c>
      <c r="GK101" s="310">
        <f t="shared" ref="GK101:GK132" si="306">IF(DM102="",GK100,EY102)</f>
        <v>0.63076923076923397</v>
      </c>
      <c r="GL101" s="311">
        <f t="shared" ref="GL101:GL132" si="307">IF(DM102="","",SUM(DU102:DV102))</f>
        <v>0</v>
      </c>
      <c r="GM101" s="310">
        <f t="shared" ref="GM101:GM132" si="308">IF(DM102="",GM100,FJ102)</f>
        <v>0.75479157400085606</v>
      </c>
      <c r="HA101" s="13"/>
      <c r="HB101" s="24"/>
      <c r="HC101" s="13"/>
      <c r="HD101" s="13"/>
      <c r="HE101" s="13"/>
      <c r="HF101" s="75"/>
      <c r="HG101" s="75"/>
      <c r="HH101" s="75"/>
      <c r="HI101" s="75"/>
      <c r="HJ101" s="66"/>
      <c r="HK101" s="75"/>
      <c r="HL101" s="75"/>
    </row>
    <row r="102" spans="3:221" x14ac:dyDescent="0.2">
      <c r="C102" s="426">
        <f t="shared" si="243"/>
        <v>42309</v>
      </c>
      <c r="D102" s="155">
        <f t="shared" si="244"/>
        <v>34</v>
      </c>
      <c r="E102" s="155">
        <f t="shared" si="296"/>
        <v>12307520</v>
      </c>
      <c r="F102" s="155"/>
      <c r="G102" s="438">
        <f t="shared" si="297"/>
        <v>124541.17521367522</v>
      </c>
      <c r="I102" s="444">
        <f>IF(D102="","",'Mx FORECAST'!DX40)</f>
        <v>4013999.9572649542</v>
      </c>
      <c r="J102" s="155">
        <f>IF(D102="","",'Mx FORECAST'!DP40)</f>
        <v>0</v>
      </c>
      <c r="K102" s="155">
        <f>IF(D102="","",'Mx FORECAST'!DQ40)</f>
        <v>0</v>
      </c>
      <c r="M102" s="155">
        <f>IF(D102="","",'Mx FORECAST'!DR40)</f>
        <v>0</v>
      </c>
      <c r="O102" s="155">
        <f>IF(D102="","",'Mx FORECAST'!DS40)</f>
        <v>0</v>
      </c>
      <c r="Q102" s="155">
        <f>IF(D102="","",'Mx FORECAST'!DT40)</f>
        <v>0</v>
      </c>
      <c r="S102" s="155">
        <f>IF(D102="","",'Mx FORECAST'!DU40)</f>
        <v>0</v>
      </c>
      <c r="U102" s="155">
        <f>IF(D102="","",'Mx FORECAST'!DV40)</f>
        <v>0</v>
      </c>
      <c r="W102" s="540">
        <f>IF(D102="","",'Mx FORECAST'!DY40)</f>
        <v>8293520.0427350458</v>
      </c>
      <c r="X102" s="540"/>
      <c r="Y102" s="437">
        <f>IF(D102="","",'Mx FORECAST'!DZ40)</f>
        <v>0.67385793748334721</v>
      </c>
      <c r="AD102" s="155"/>
      <c r="AF102" s="155"/>
      <c r="AH102" s="155"/>
      <c r="AJ102" s="155"/>
      <c r="AK102" s="8"/>
      <c r="AL102" s="8"/>
      <c r="AM102" s="8"/>
      <c r="AN102" s="8"/>
      <c r="AO102" s="8"/>
      <c r="AP102" s="8"/>
      <c r="AQ102" s="7"/>
      <c r="AR102" s="7"/>
      <c r="AS102" s="7"/>
      <c r="AT102" s="7"/>
      <c r="AU102" s="7"/>
      <c r="AV102" s="7"/>
      <c r="AW102" s="7"/>
      <c r="AX102" s="7"/>
      <c r="AY102" s="7"/>
      <c r="AZ102" s="8"/>
      <c r="BZ102" s="9"/>
      <c r="CA102" s="9"/>
      <c r="CB102" s="9"/>
      <c r="DM102" s="44">
        <f t="shared" si="283"/>
        <v>96</v>
      </c>
      <c r="DN102" s="41">
        <f t="shared" ref="DN102:DN133" si="309">IF(DM102="","",SUM(EC102:EE102)+SUM(EQ102:ER102)+SUM(FB102:FC102))</f>
        <v>12666583.5</v>
      </c>
      <c r="DO102" s="41">
        <f t="shared" si="284"/>
        <v>163228.55021367522</v>
      </c>
      <c r="DP102" s="42">
        <f t="shared" ref="DP102:DP133" si="310">IF(DM102="","",IF(ISNA(VLOOKUP(DM102,$GS$4:$GU$13,3,FALSE)),0,VLOOKUP(DM102,$GS$4:$GU$13,3,FALSE)))</f>
        <v>0</v>
      </c>
      <c r="DQ102" s="42">
        <f t="shared" ref="DQ102:DQ133" si="311">IF(DM102="","",IF(ISNA(VLOOKUP(DM102,$GS$14:$GU$15,3,FALSE)),0,VLOOKUP(DM102,$GS$14:$GU$15,3,FALSE)))</f>
        <v>0</v>
      </c>
      <c r="DR102" s="42">
        <f t="shared" ref="DR102:DR133" si="312">IF(DM102="","",IF(ISNA(VLOOKUP(DM102,$GS$16:$GU$16,3,FALSE)),0,VLOOKUP(DM102,$GS$16:$GU$16,3,FALSE)))</f>
        <v>0</v>
      </c>
      <c r="DS102" s="42">
        <f t="shared" ref="DS102:DS133" si="313">IF(DM102="","",IF(ISNA(VLOOKUP(DM102,$GS$17:$GU$19,3,FALSE)),0,VLOOKUP(DM102,$GS$17:$GU$19,3,FALSE)))</f>
        <v>0</v>
      </c>
      <c r="DT102" s="42">
        <f t="shared" ref="DT102:DT133" si="314">IF(DM102="","",IF(ISNA(VLOOKUP(DM102,$GS$20:$GU$28,3,FALSE)),0,VLOOKUP(DM102,$GS$20:$GU$28,3,FALSE)))</f>
        <v>0</v>
      </c>
      <c r="DU102" s="42">
        <f t="shared" ref="DU102:DU133" si="315">IF(DM102="","",IF(ISNA(VLOOKUP(DM102,$GS$30:$GW$44,3,FALSE)),0,VLOOKUP(DM102,$GS$30:$GW$44,3,FALSE)))</f>
        <v>0</v>
      </c>
      <c r="DV102" s="42">
        <f t="shared" ref="DV102:DV133" si="316">IF(DM102="","",IF(ISNA(VLOOKUP(DM102,$GS$30:$GW$44,4,FALSE)),0,VLOOKUP(DM102,$GS$30:$GW$44,4,FALSE)))</f>
        <v>0</v>
      </c>
      <c r="DW102" s="42">
        <f t="shared" ref="DW102:DW133" si="317">IF(DM102="","",IF(ISNA(VLOOKUP(DM102,$GS$30:$GW$44,5,FALSE)),0,VLOOKUP(DM102,$GS$30:$GW$44,5,FALSE)))</f>
        <v>0</v>
      </c>
      <c r="DX102" s="42">
        <f t="shared" ref="DX102:DX133" si="318">IF(DM102="","",DN102-DY102)</f>
        <v>3849390.9663461689</v>
      </c>
      <c r="DY102" s="42">
        <f>IF(DM102="",DY101,DN102-SUM($DO$6:DO102)+SUM($DP$6:DV102)-SUM($DW$6:DW102))</f>
        <v>8817192.5336538311</v>
      </c>
      <c r="DZ102" s="43">
        <f t="shared" si="285"/>
        <v>0.69609871783135768</v>
      </c>
      <c r="EA102" s="43"/>
      <c r="EB102" s="43" t="str">
        <f t="shared" si="295"/>
        <v>False</v>
      </c>
      <c r="EC102" s="41">
        <f t="shared" si="286"/>
        <v>264480</v>
      </c>
      <c r="ED102" s="41">
        <f t="shared" si="287"/>
        <v>686673.49999999988</v>
      </c>
      <c r="EE102" s="41">
        <f t="shared" ref="EE102:EE133" si="319">IF(DM102="","",IF(DM102&lt;=$DI$9,$DF$9,$DF$20))</f>
        <v>902280</v>
      </c>
      <c r="EF102" s="41">
        <f t="shared" si="288"/>
        <v>14693.333333333334</v>
      </c>
      <c r="EG102" s="42">
        <f t="shared" si="289"/>
        <v>9537.1319444444434</v>
      </c>
      <c r="EH102" s="42">
        <f t="shared" si="290"/>
        <v>6265.8333333333321</v>
      </c>
      <c r="EI102" s="42">
        <f t="shared" ref="EI102:EI133" si="320">IF(DM102="","",ROUND(EC102-EL102,0))</f>
        <v>88160</v>
      </c>
      <c r="EJ102" s="42">
        <f t="shared" ref="EJ102:EJ133" si="321">IF(DM102="","",ROUND(ED102-EM102,0))</f>
        <v>228891</v>
      </c>
      <c r="EK102" s="42">
        <f t="shared" ref="EK102:EK133" si="322">IF(DM102="","",ROUND(EE102-EN102,0))</f>
        <v>601520</v>
      </c>
      <c r="EL102" s="42">
        <f>IF(DM102="","",EC102-SUM($EF$6:EF102)+SUM($DP$6:DP102))</f>
        <v>176319.99999999953</v>
      </c>
      <c r="EM102" s="42">
        <f>IF(DM102="","",ED102-SUM($EG$6:EG102)+SUM($DQ$6:DQ102))</f>
        <v>457782.33333333198</v>
      </c>
      <c r="EN102" s="42">
        <f>IF(DM102="","",EE102-SUM($EH$6:EH102)+SUM($DR$6:DR102))</f>
        <v>300760.00000000023</v>
      </c>
      <c r="EO102" s="152">
        <f t="shared" ref="EO102:EO133" si="323">IF(DM102="","",SUM(EL102:EN102)/SUM(EC102:EE102))</f>
        <v>0.50439486139283218</v>
      </c>
      <c r="EP102" s="43"/>
      <c r="EQ102" s="42">
        <f t="shared" ref="EQ102:EQ133" si="324">IF(DM102="","",$DF$10)</f>
        <v>448050</v>
      </c>
      <c r="ER102" s="42">
        <f t="shared" ref="ER102:ER133" si="325">IF(DM102="","",$DF$11)</f>
        <v>248100</v>
      </c>
      <c r="ES102" s="42">
        <f t="shared" si="291"/>
        <v>3733.75</v>
      </c>
      <c r="ET102" s="42">
        <f t="shared" si="292"/>
        <v>6122.9807692307695</v>
      </c>
      <c r="EU102" s="42">
        <f t="shared" ref="EU102:EU133" si="326">IF(DM102="","",ROUND(EQ102-EW102,0))</f>
        <v>358440</v>
      </c>
      <c r="EV102" s="42">
        <f t="shared" ref="EV102:EV133" si="327">IF(DM102="","",ROUND(ER102-EX102,0))</f>
        <v>91606</v>
      </c>
      <c r="EW102" s="42">
        <f>IF(DM102="","",IF(DS102&gt;0,DS102,EQ102-SUM($ES$6:ES102)+SUM($DS$6:DS102)))</f>
        <v>89610</v>
      </c>
      <c r="EX102" s="42">
        <f>IF(DM102="","",IF(DT102&gt;0,DT102,ER102-SUM($ET$6:ET102)+SUM($DT$6:DT102)))</f>
        <v>156493.84615384694</v>
      </c>
      <c r="EY102" s="43">
        <f t="shared" ref="EY102:EY133" si="328">IF(DM102="","",IF(EX102/ER102&gt;1,1,EX102/ER102))</f>
        <v>0.63076923076923397</v>
      </c>
      <c r="EZ102" s="43">
        <f t="shared" ref="EZ102:EZ133" si="329">IF(DM102="","",IF(EW102/EQ102&gt;1,1,EW102/EQ102))</f>
        <v>0.2</v>
      </c>
      <c r="FA102" s="43"/>
      <c r="FB102" s="42">
        <f t="shared" ref="FB102:FB133" si="330">IF(DM102="","",IF(DM102&lt;=$GS$30,2*$DF$12,2*$DF$23))</f>
        <v>4935000</v>
      </c>
      <c r="FC102" s="42">
        <f t="shared" ref="FC102:FC133" si="331">IF(DM102="","",($DF$13)*2)</f>
        <v>5182000</v>
      </c>
      <c r="FD102" s="41">
        <f t="shared" si="293"/>
        <v>89960.9375</v>
      </c>
      <c r="FE102" s="41">
        <f t="shared" si="294"/>
        <v>32914.583333333336</v>
      </c>
      <c r="FF102" s="42">
        <f t="shared" ref="FF102:FF133" si="332">IF(DM102="","",ROUND(FB102-FH102,0))</f>
        <v>950404</v>
      </c>
      <c r="FG102" s="42">
        <f t="shared" ref="FG102:FG133" si="333">IF(DM102="","",ROUND(FC102-FI102,0))</f>
        <v>1530370</v>
      </c>
      <c r="FH102" s="42">
        <f>IF(DM102="","",IF(DU102&gt;0,DU102,FB102-SUM($FD$6:FD102)+SUM($DU$6:DU102)))</f>
        <v>3984596.3541666642</v>
      </c>
      <c r="FI102" s="42">
        <f>IF(DM102="","",FC102-SUM($FE$6:FE102)+SUM($DV$6:DV102)-SUM($DW$6:DW102))</f>
        <v>3651629.9999999963</v>
      </c>
      <c r="FJ102" s="152">
        <f t="shared" ref="FJ102:FJ133" si="334">IF(DM102="","",IF((FH102+FI102)/(FB102+FC102)&gt;1,1,(FH102+FI102)/(FB102+FC102)))</f>
        <v>0.75479157400085606</v>
      </c>
      <c r="FN102" s="8"/>
      <c r="FO102" s="8"/>
      <c r="FP102" s="8"/>
      <c r="FQ102" s="8"/>
      <c r="FR102" s="8"/>
      <c r="FS102" s="8"/>
      <c r="FT102" s="8"/>
      <c r="FU102" s="8"/>
      <c r="GC102" s="68">
        <f t="shared" si="298"/>
        <v>97</v>
      </c>
      <c r="GD102" s="78">
        <f t="shared" si="299"/>
        <v>0</v>
      </c>
      <c r="GE102" s="309">
        <f t="shared" si="300"/>
        <v>0.68321216873043589</v>
      </c>
      <c r="GF102" s="78">
        <f t="shared" si="301"/>
        <v>0</v>
      </c>
      <c r="GG102" s="310">
        <f t="shared" si="302"/>
        <v>0.48794091329536271</v>
      </c>
      <c r="GH102" s="78">
        <f t="shared" si="303"/>
        <v>0</v>
      </c>
      <c r="GI102" s="310">
        <f t="shared" si="304"/>
        <v>0.19166666666666668</v>
      </c>
      <c r="GJ102" s="311">
        <f t="shared" si="305"/>
        <v>0</v>
      </c>
      <c r="GK102" s="310">
        <f t="shared" si="306"/>
        <v>0.60608974358974688</v>
      </c>
      <c r="GL102" s="311">
        <f t="shared" si="307"/>
        <v>0</v>
      </c>
      <c r="GM102" s="310">
        <f t="shared" si="308"/>
        <v>0.7426461236862042</v>
      </c>
      <c r="HA102" s="13"/>
      <c r="HB102" s="24"/>
      <c r="HC102" s="13"/>
      <c r="HD102" s="13"/>
      <c r="HE102" s="13"/>
      <c r="HF102" s="75"/>
      <c r="HG102" s="75"/>
      <c r="HH102" s="75"/>
      <c r="HI102" s="75"/>
      <c r="HJ102" s="66"/>
      <c r="HK102" s="75"/>
      <c r="HL102" s="75"/>
    </row>
    <row r="103" spans="3:221" x14ac:dyDescent="0.2">
      <c r="C103" s="426">
        <f t="shared" si="243"/>
        <v>42339</v>
      </c>
      <c r="D103" s="155">
        <f t="shared" si="244"/>
        <v>35</v>
      </c>
      <c r="E103" s="155">
        <f t="shared" si="296"/>
        <v>12307520</v>
      </c>
      <c r="F103" s="155"/>
      <c r="G103" s="438">
        <f t="shared" si="297"/>
        <v>124541.17521367522</v>
      </c>
      <c r="I103" s="444">
        <f>IF(D103="","",'Mx FORECAST'!DX41)</f>
        <v>4138541.1324786292</v>
      </c>
      <c r="J103" s="155">
        <f>IF(D103="","",'Mx FORECAST'!DP41)</f>
        <v>0</v>
      </c>
      <c r="K103" s="155">
        <f>IF(D103="","",'Mx FORECAST'!DQ41)</f>
        <v>0</v>
      </c>
      <c r="M103" s="155">
        <f>IF(D103="","",'Mx FORECAST'!DR41)</f>
        <v>0</v>
      </c>
      <c r="O103" s="155">
        <f>IF(D103="","",'Mx FORECAST'!DS41)</f>
        <v>0</v>
      </c>
      <c r="Q103" s="155">
        <f>IF(D103="","",'Mx FORECAST'!DT41)</f>
        <v>0</v>
      </c>
      <c r="S103" s="155">
        <f>IF(D103="","",'Mx FORECAST'!DU41)</f>
        <v>0</v>
      </c>
      <c r="U103" s="155">
        <f>IF(D103="","",'Mx FORECAST'!DV41)</f>
        <v>0</v>
      </c>
      <c r="W103" s="540">
        <f>IF(D103="","",'Mx FORECAST'!DY41)</f>
        <v>8168978.8675213708</v>
      </c>
      <c r="X103" s="540"/>
      <c r="Y103" s="437">
        <f>IF(D103="","",'Mx FORECAST'!DZ41)</f>
        <v>0.66373882532966599</v>
      </c>
      <c r="AD103" s="155"/>
      <c r="AF103" s="155"/>
      <c r="AH103" s="155"/>
      <c r="AJ103" s="155"/>
      <c r="AK103" s="8"/>
      <c r="AL103" s="8"/>
      <c r="AM103" s="8"/>
      <c r="AN103" s="8"/>
      <c r="AO103" s="8"/>
      <c r="AP103" s="8"/>
      <c r="AQ103" s="7"/>
      <c r="AR103" s="7"/>
      <c r="AS103" s="7"/>
      <c r="AT103" s="7"/>
      <c r="AU103" s="7"/>
      <c r="AV103" s="7"/>
      <c r="AW103" s="7"/>
      <c r="AX103" s="7"/>
      <c r="AY103" s="7"/>
      <c r="AZ103" s="8"/>
      <c r="BZ103" s="9"/>
      <c r="CA103" s="9"/>
      <c r="CB103" s="9"/>
      <c r="DM103" s="44">
        <f t="shared" ref="DM103:DM134" si="335">IF(DM102="","",IF(DM102&gt;=$FW$23,"",DM102+1))</f>
        <v>97</v>
      </c>
      <c r="DN103" s="41">
        <f t="shared" si="309"/>
        <v>12666583.5</v>
      </c>
      <c r="DO103" s="41">
        <f t="shared" ref="DO103:DO134" si="336">IF(DM103="","",SUM(EF103:EH103)+SUM(ES103:ET103)+SUM(FD103:FE103))</f>
        <v>163228.55021367522</v>
      </c>
      <c r="DP103" s="42">
        <f t="shared" si="310"/>
        <v>0</v>
      </c>
      <c r="DQ103" s="42">
        <f t="shared" si="311"/>
        <v>0</v>
      </c>
      <c r="DR103" s="42">
        <f t="shared" si="312"/>
        <v>0</v>
      </c>
      <c r="DS103" s="42">
        <f t="shared" si="313"/>
        <v>0</v>
      </c>
      <c r="DT103" s="42">
        <f t="shared" si="314"/>
        <v>0</v>
      </c>
      <c r="DU103" s="42">
        <f t="shared" si="315"/>
        <v>0</v>
      </c>
      <c r="DV103" s="42">
        <f t="shared" si="316"/>
        <v>0</v>
      </c>
      <c r="DW103" s="42">
        <f t="shared" si="317"/>
        <v>0</v>
      </c>
      <c r="DX103" s="42">
        <f t="shared" si="318"/>
        <v>4012619.5165598448</v>
      </c>
      <c r="DY103" s="42">
        <f>IF(DM103="",DY102,DN103-SUM($DO$6:DO103)+SUM($DP$6:DV103)-SUM($DW$6:DW103))</f>
        <v>8653963.9834401552</v>
      </c>
      <c r="DZ103" s="43">
        <f t="shared" ref="DZ103:DZ134" si="337">IF(DM103="",DZ102,IF(DY103/DN103&gt;1,1,DY103/DN103))</f>
        <v>0.68321216873043589</v>
      </c>
      <c r="EA103" s="43"/>
      <c r="EB103" s="43" t="str">
        <f t="shared" si="295"/>
        <v>False</v>
      </c>
      <c r="EC103" s="41">
        <f t="shared" si="286"/>
        <v>264480</v>
      </c>
      <c r="ED103" s="41">
        <f t="shared" si="287"/>
        <v>686673.49999999988</v>
      </c>
      <c r="EE103" s="41">
        <f t="shared" si="319"/>
        <v>902280</v>
      </c>
      <c r="EF103" s="41">
        <f t="shared" ref="EF103:EF134" si="338">IF(DM103="","",IF(AND(DM103&lt;=$DI$8,EB103="True"),$GA$4*$DK$6,IF(AND(DM103&lt;=$DI$8,EB103="False"),$GA$4*$DK$7,IF(AND(DM103&gt;$DI$8,EB103="True"),$GA$4*$DK$17,$GA$4*$DK$18))))</f>
        <v>14693.333333333334</v>
      </c>
      <c r="EG103" s="42">
        <f t="shared" ref="EG103:EG134" si="339">IF(DM103="","",IF(DM103&lt;=$DI$8,$GA$4*$DK$8,$GA$4*$DK$19))</f>
        <v>9537.1319444444434</v>
      </c>
      <c r="EH103" s="42">
        <f t="shared" ref="EH103:EH134" si="340">IF(DM103="","",IF(DM103&lt;=$DI$9,$GA$4*$DK$9,$GA$4*$DK$20))</f>
        <v>6265.8333333333321</v>
      </c>
      <c r="EI103" s="42">
        <f t="shared" si="320"/>
        <v>102853</v>
      </c>
      <c r="EJ103" s="42">
        <f t="shared" si="321"/>
        <v>238428</v>
      </c>
      <c r="EK103" s="42">
        <f t="shared" si="322"/>
        <v>607786</v>
      </c>
      <c r="EL103" s="42">
        <f>IF(DM103="","",EC103-SUM($EF$6:EF103)+SUM($DP$6:DP103))</f>
        <v>161626.66666666628</v>
      </c>
      <c r="EM103" s="42">
        <f>IF(DM103="","",ED103-SUM($EG$6:EG103)+SUM($DQ$6:DQ103))</f>
        <v>448245.20138888748</v>
      </c>
      <c r="EN103" s="42">
        <f>IF(DM103="","",EE103-SUM($EH$6:EH103)+SUM($DR$6:DR103))</f>
        <v>294494.16666666686</v>
      </c>
      <c r="EO103" s="152">
        <f t="shared" si="323"/>
        <v>0.48794091329536271</v>
      </c>
      <c r="EP103" s="43"/>
      <c r="EQ103" s="42">
        <f t="shared" si="324"/>
        <v>448050</v>
      </c>
      <c r="ER103" s="42">
        <f t="shared" si="325"/>
        <v>248100</v>
      </c>
      <c r="ES103" s="42">
        <f t="shared" ref="ES103:ES134" si="341">IF(DM103="","",$GA$4*$DK$10)</f>
        <v>3733.75</v>
      </c>
      <c r="ET103" s="42">
        <f t="shared" ref="ET103:ET134" si="342">IF(DM103="","",$GA$4*$DK$11)</f>
        <v>6122.9807692307695</v>
      </c>
      <c r="EU103" s="42">
        <f t="shared" si="326"/>
        <v>362174</v>
      </c>
      <c r="EV103" s="42">
        <f t="shared" si="327"/>
        <v>97729</v>
      </c>
      <c r="EW103" s="42">
        <f>IF(DM103="","",IF(DS103&gt;0,DS103,EQ103-SUM($ES$6:ES103)+SUM($DS$6:DS103)))</f>
        <v>85876.25</v>
      </c>
      <c r="EX103" s="42">
        <f>IF(DM103="","",IF(DT103&gt;0,DT103,ER103-SUM($ET$6:ET103)+SUM($DT$6:DT103)))</f>
        <v>150370.86538461619</v>
      </c>
      <c r="EY103" s="43">
        <f t="shared" si="328"/>
        <v>0.60608974358974688</v>
      </c>
      <c r="EZ103" s="43">
        <f t="shared" si="329"/>
        <v>0.19166666666666668</v>
      </c>
      <c r="FA103" s="43"/>
      <c r="FB103" s="42">
        <f t="shared" si="330"/>
        <v>4935000</v>
      </c>
      <c r="FC103" s="42">
        <f t="shared" si="331"/>
        <v>5182000</v>
      </c>
      <c r="FD103" s="41">
        <f t="shared" ref="FD103:FD134" si="343">IF(DM103="","",IF(DM103&lt;=$GA$8,$GA$4*$DK$12,$GA$4*$DK$23))</f>
        <v>89960.9375</v>
      </c>
      <c r="FE103" s="41">
        <f t="shared" ref="FE103:FE134" si="344">IF(DM103="","",$GA$4*($DK$24))</f>
        <v>32914.583333333336</v>
      </c>
      <c r="FF103" s="42">
        <f t="shared" si="332"/>
        <v>1040365</v>
      </c>
      <c r="FG103" s="42">
        <f t="shared" si="333"/>
        <v>1563285</v>
      </c>
      <c r="FH103" s="42">
        <f>IF(DM103="","",IF(DU103&gt;0,DU103,FB103-SUM($FD$6:FD103)+SUM($DU$6:DU103)))</f>
        <v>3894635.4166666642</v>
      </c>
      <c r="FI103" s="42">
        <f>IF(DM103="","",FC103-SUM($FE$6:FE103)+SUM($DV$6:DV103)-SUM($DW$6:DW103))</f>
        <v>3618715.4166666633</v>
      </c>
      <c r="FJ103" s="152">
        <f t="shared" si="334"/>
        <v>0.7426461236862042</v>
      </c>
      <c r="FN103" s="8"/>
      <c r="FO103" s="8"/>
      <c r="FP103" s="8"/>
      <c r="FQ103" s="8"/>
      <c r="FR103" s="8"/>
      <c r="FS103" s="8"/>
      <c r="FT103" s="8"/>
      <c r="FU103" s="8"/>
      <c r="GC103" s="68">
        <f t="shared" si="298"/>
        <v>98</v>
      </c>
      <c r="GD103" s="78">
        <f t="shared" si="299"/>
        <v>0</v>
      </c>
      <c r="GE103" s="309">
        <f t="shared" si="300"/>
        <v>0.67032561962951409</v>
      </c>
      <c r="GF103" s="78">
        <f t="shared" si="301"/>
        <v>0</v>
      </c>
      <c r="GG103" s="310">
        <f t="shared" si="302"/>
        <v>0.47148696519789324</v>
      </c>
      <c r="GH103" s="78">
        <f t="shared" si="303"/>
        <v>0</v>
      </c>
      <c r="GI103" s="310">
        <f t="shared" si="304"/>
        <v>0.18333333333333332</v>
      </c>
      <c r="GJ103" s="311">
        <f t="shared" si="305"/>
        <v>0</v>
      </c>
      <c r="GK103" s="310">
        <f t="shared" si="306"/>
        <v>0.58141025641025978</v>
      </c>
      <c r="GL103" s="311">
        <f t="shared" si="307"/>
        <v>0</v>
      </c>
      <c r="GM103" s="310">
        <f t="shared" si="308"/>
        <v>0.73050067337155233</v>
      </c>
      <c r="HA103" s="13"/>
      <c r="HB103" s="24"/>
      <c r="HC103" s="13"/>
      <c r="HD103" s="13"/>
      <c r="HE103" s="13"/>
      <c r="HF103" s="75"/>
      <c r="HG103" s="75"/>
      <c r="HH103" s="75"/>
      <c r="HI103" s="75"/>
      <c r="HJ103" s="66"/>
      <c r="HK103" s="75"/>
      <c r="HL103" s="75"/>
    </row>
    <row r="104" spans="3:221" x14ac:dyDescent="0.2">
      <c r="C104" s="426">
        <f t="shared" si="243"/>
        <v>42370</v>
      </c>
      <c r="D104" s="155">
        <f t="shared" si="244"/>
        <v>36</v>
      </c>
      <c r="E104" s="155">
        <f t="shared" si="296"/>
        <v>12307520</v>
      </c>
      <c r="F104" s="155"/>
      <c r="G104" s="438">
        <f t="shared" si="297"/>
        <v>124541.17521367522</v>
      </c>
      <c r="I104" s="444">
        <f>IF(D104="","",'Mx FORECAST'!DX42)</f>
        <v>4042682.3076923043</v>
      </c>
      <c r="J104" s="155">
        <f>IF(D104="","",'Mx FORECAST'!DP42)</f>
        <v>220400</v>
      </c>
      <c r="K104" s="155">
        <f>IF(D104="","",'Mx FORECAST'!DQ42)</f>
        <v>0</v>
      </c>
      <c r="M104" s="155">
        <f>IF(D104="","",'Mx FORECAST'!DR42)</f>
        <v>0</v>
      </c>
      <c r="O104" s="155">
        <f>IF(D104="","",'Mx FORECAST'!DS42)</f>
        <v>0</v>
      </c>
      <c r="Q104" s="155">
        <f>IF(D104="","",'Mx FORECAST'!DT42)</f>
        <v>0</v>
      </c>
      <c r="S104" s="155">
        <f>IF(D104="","",'Mx FORECAST'!DU42)</f>
        <v>0</v>
      </c>
      <c r="U104" s="155">
        <f>IF(D104="","",'Mx FORECAST'!DV42)</f>
        <v>0</v>
      </c>
      <c r="W104" s="540">
        <f>IF(D104="","",'Mx FORECAST'!DY42)</f>
        <v>8264837.6923076957</v>
      </c>
      <c r="X104" s="540"/>
      <c r="Y104" s="437">
        <f>IF(D104="","",'Mx FORECAST'!DZ42)</f>
        <v>0.67152746388449469</v>
      </c>
      <c r="AD104" s="155"/>
      <c r="AF104" s="155"/>
      <c r="AH104" s="155"/>
      <c r="AJ104" s="155"/>
      <c r="AK104" s="8"/>
      <c r="AL104" s="8"/>
      <c r="AM104" s="8"/>
      <c r="AN104" s="8"/>
      <c r="AO104" s="8"/>
      <c r="AP104" s="8"/>
      <c r="AQ104" s="7"/>
      <c r="AR104" s="7"/>
      <c r="AS104" s="7"/>
      <c r="AT104" s="7"/>
      <c r="AU104" s="7"/>
      <c r="AV104" s="7"/>
      <c r="AW104" s="7"/>
      <c r="AX104" s="7"/>
      <c r="AY104" s="7"/>
      <c r="AZ104" s="8"/>
      <c r="BZ104" s="9"/>
      <c r="CA104" s="9"/>
      <c r="CB104" s="9"/>
      <c r="DM104" s="44">
        <f t="shared" si="335"/>
        <v>98</v>
      </c>
      <c r="DN104" s="41">
        <f t="shared" si="309"/>
        <v>12666583.5</v>
      </c>
      <c r="DO104" s="41">
        <f t="shared" si="336"/>
        <v>163228.55021367522</v>
      </c>
      <c r="DP104" s="42">
        <f t="shared" si="310"/>
        <v>0</v>
      </c>
      <c r="DQ104" s="42">
        <f t="shared" si="311"/>
        <v>0</v>
      </c>
      <c r="DR104" s="42">
        <f t="shared" si="312"/>
        <v>0</v>
      </c>
      <c r="DS104" s="42">
        <f t="shared" si="313"/>
        <v>0</v>
      </c>
      <c r="DT104" s="42">
        <f t="shared" si="314"/>
        <v>0</v>
      </c>
      <c r="DU104" s="42">
        <f t="shared" si="315"/>
        <v>0</v>
      </c>
      <c r="DV104" s="42">
        <f t="shared" si="316"/>
        <v>0</v>
      </c>
      <c r="DW104" s="42">
        <f t="shared" si="317"/>
        <v>0</v>
      </c>
      <c r="DX104" s="42">
        <f t="shared" si="318"/>
        <v>4175848.0667735208</v>
      </c>
      <c r="DY104" s="42">
        <f>IF(DM104="",DY103,DN104-SUM($DO$6:DO104)+SUM($DP$6:DV104)-SUM($DW$6:DW104))</f>
        <v>8490735.4332264792</v>
      </c>
      <c r="DZ104" s="43">
        <f t="shared" si="337"/>
        <v>0.67032561962951409</v>
      </c>
      <c r="EA104" s="43"/>
      <c r="EB104" s="43" t="str">
        <f t="shared" si="295"/>
        <v>False</v>
      </c>
      <c r="EC104" s="41">
        <f t="shared" si="286"/>
        <v>264480</v>
      </c>
      <c r="ED104" s="41">
        <f t="shared" si="287"/>
        <v>686673.49999999988</v>
      </c>
      <c r="EE104" s="41">
        <f t="shared" si="319"/>
        <v>902280</v>
      </c>
      <c r="EF104" s="41">
        <f t="shared" si="338"/>
        <v>14693.333333333334</v>
      </c>
      <c r="EG104" s="42">
        <f t="shared" si="339"/>
        <v>9537.1319444444434</v>
      </c>
      <c r="EH104" s="42">
        <f t="shared" si="340"/>
        <v>6265.8333333333321</v>
      </c>
      <c r="EI104" s="42">
        <f t="shared" si="320"/>
        <v>117547</v>
      </c>
      <c r="EJ104" s="42">
        <f t="shared" si="321"/>
        <v>247965</v>
      </c>
      <c r="EK104" s="42">
        <f t="shared" si="322"/>
        <v>614052</v>
      </c>
      <c r="EL104" s="42">
        <f>IF(DM104="","",EC104-SUM($EF$6:EF104)+SUM($DP$6:DP104))</f>
        <v>146933.33333333302</v>
      </c>
      <c r="EM104" s="42">
        <f>IF(DM104="","",ED104-SUM($EG$6:EG104)+SUM($DQ$6:DQ104))</f>
        <v>438708.06944444298</v>
      </c>
      <c r="EN104" s="42">
        <f>IF(DM104="","",EE104-SUM($EH$6:EH104)+SUM($DR$6:DR104))</f>
        <v>288228.33333333349</v>
      </c>
      <c r="EO104" s="152">
        <f t="shared" si="323"/>
        <v>0.47148696519789324</v>
      </c>
      <c r="EP104" s="43"/>
      <c r="EQ104" s="42">
        <f t="shared" si="324"/>
        <v>448050</v>
      </c>
      <c r="ER104" s="42">
        <f t="shared" si="325"/>
        <v>248100</v>
      </c>
      <c r="ES104" s="42">
        <f t="shared" si="341"/>
        <v>3733.75</v>
      </c>
      <c r="ET104" s="42">
        <f t="shared" si="342"/>
        <v>6122.9807692307695</v>
      </c>
      <c r="EU104" s="42">
        <f t="shared" si="326"/>
        <v>365908</v>
      </c>
      <c r="EV104" s="42">
        <f t="shared" si="327"/>
        <v>103852</v>
      </c>
      <c r="EW104" s="42">
        <f>IF(DM104="","",IF(DS104&gt;0,DS104,EQ104-SUM($ES$6:ES104)+SUM($DS$6:DS104)))</f>
        <v>82142.5</v>
      </c>
      <c r="EX104" s="42">
        <f>IF(DM104="","",IF(DT104&gt;0,DT104,ER104-SUM($ET$6:ET104)+SUM($DT$6:DT104)))</f>
        <v>144247.88461538544</v>
      </c>
      <c r="EY104" s="43">
        <f t="shared" si="328"/>
        <v>0.58141025641025978</v>
      </c>
      <c r="EZ104" s="43">
        <f t="shared" si="329"/>
        <v>0.18333333333333332</v>
      </c>
      <c r="FA104" s="43"/>
      <c r="FB104" s="42">
        <f t="shared" si="330"/>
        <v>4935000</v>
      </c>
      <c r="FC104" s="42">
        <f t="shared" si="331"/>
        <v>5182000</v>
      </c>
      <c r="FD104" s="41">
        <f t="shared" si="343"/>
        <v>89960.9375</v>
      </c>
      <c r="FE104" s="41">
        <f t="shared" si="344"/>
        <v>32914.583333333336</v>
      </c>
      <c r="FF104" s="42">
        <f t="shared" si="332"/>
        <v>1130326</v>
      </c>
      <c r="FG104" s="42">
        <f t="shared" si="333"/>
        <v>1596199</v>
      </c>
      <c r="FH104" s="42">
        <f>IF(DM104="","",IF(DU104&gt;0,DU104,FB104-SUM($FD$6:FD104)+SUM($DU$6:DU104)))</f>
        <v>3804674.4791666642</v>
      </c>
      <c r="FI104" s="42">
        <f>IF(DM104="","",FC104-SUM($FE$6:FE104)+SUM($DV$6:DV104)-SUM($DW$6:DW104))</f>
        <v>3585800.8333333302</v>
      </c>
      <c r="FJ104" s="152">
        <f t="shared" si="334"/>
        <v>0.73050067337155233</v>
      </c>
      <c r="FN104" s="8"/>
      <c r="FO104" s="8"/>
      <c r="FP104" s="8"/>
      <c r="FQ104" s="8"/>
      <c r="FR104" s="8"/>
      <c r="FS104" s="8"/>
      <c r="FT104" s="8"/>
      <c r="FU104" s="8"/>
      <c r="GC104" s="68">
        <f t="shared" si="298"/>
        <v>99</v>
      </c>
      <c r="GD104" s="78">
        <f t="shared" si="299"/>
        <v>0</v>
      </c>
      <c r="GE104" s="309">
        <f t="shared" si="300"/>
        <v>0.6574390705285923</v>
      </c>
      <c r="GF104" s="78">
        <f t="shared" si="301"/>
        <v>0</v>
      </c>
      <c r="GG104" s="310">
        <f t="shared" si="302"/>
        <v>0.45503301710042382</v>
      </c>
      <c r="GH104" s="78">
        <f t="shared" si="303"/>
        <v>0</v>
      </c>
      <c r="GI104" s="310">
        <f t="shared" si="304"/>
        <v>0.17499999999999999</v>
      </c>
      <c r="GJ104" s="311">
        <f t="shared" si="305"/>
        <v>0</v>
      </c>
      <c r="GK104" s="310">
        <f t="shared" si="306"/>
        <v>0.55673076923077258</v>
      </c>
      <c r="GL104" s="311">
        <f t="shared" si="307"/>
        <v>0</v>
      </c>
      <c r="GM104" s="310">
        <f t="shared" si="308"/>
        <v>0.71835522305690036</v>
      </c>
      <c r="HA104" s="13"/>
      <c r="HB104" s="24"/>
      <c r="HC104" s="13"/>
      <c r="HD104" s="13"/>
      <c r="HE104" s="13"/>
      <c r="HF104" s="13"/>
      <c r="HG104" s="13"/>
      <c r="HH104" s="13"/>
      <c r="HI104" s="13"/>
      <c r="HJ104" s="14"/>
      <c r="HK104" s="13"/>
      <c r="HL104" s="13"/>
    </row>
    <row r="105" spans="3:221" x14ac:dyDescent="0.2">
      <c r="C105" s="426">
        <f t="shared" si="243"/>
        <v>42401</v>
      </c>
      <c r="D105" s="155">
        <f t="shared" si="244"/>
        <v>37</v>
      </c>
      <c r="E105" s="155">
        <f t="shared" si="296"/>
        <v>12272520</v>
      </c>
      <c r="F105" s="155"/>
      <c r="G105" s="438">
        <f t="shared" si="297"/>
        <v>122596.73076923078</v>
      </c>
      <c r="I105" s="444">
        <f>IF(D105="","",'Mx FORECAST'!DX43)</f>
        <v>4165279.0384615352</v>
      </c>
      <c r="J105" s="155">
        <f>IF(D105="","",'Mx FORECAST'!DP43)</f>
        <v>0</v>
      </c>
      <c r="K105" s="155">
        <f>IF(D105="","",'Mx FORECAST'!DQ43)</f>
        <v>0</v>
      </c>
      <c r="M105" s="155">
        <f>IF(D105="","",'Mx FORECAST'!DR43)</f>
        <v>0</v>
      </c>
      <c r="O105" s="155">
        <f>IF(D105="","",'Mx FORECAST'!DS43)</f>
        <v>0</v>
      </c>
      <c r="Q105" s="155">
        <f>IF(D105="","",'Mx FORECAST'!DT43)</f>
        <v>0</v>
      </c>
      <c r="S105" s="155">
        <f>IF(D105="","",'Mx FORECAST'!DU43)</f>
        <v>0</v>
      </c>
      <c r="U105" s="155">
        <f>IF(D105="","",'Mx FORECAST'!DV43)</f>
        <v>0</v>
      </c>
      <c r="W105" s="540">
        <f>IF(D105="","",'Mx FORECAST'!DY43)</f>
        <v>8107240.9615384648</v>
      </c>
      <c r="X105" s="540"/>
      <c r="Y105" s="437">
        <f>IF(D105="","",'Mx FORECAST'!DZ43)</f>
        <v>0.66060116109311406</v>
      </c>
      <c r="AD105" s="155"/>
      <c r="AF105" s="155"/>
      <c r="AH105" s="155"/>
      <c r="AJ105" s="155"/>
      <c r="AK105" s="8"/>
      <c r="AL105" s="8"/>
      <c r="AM105" s="8"/>
      <c r="AN105" s="8"/>
      <c r="AO105" s="8"/>
      <c r="AP105" s="8"/>
      <c r="AQ105" s="7"/>
      <c r="AR105" s="7"/>
      <c r="AS105" s="7"/>
      <c r="AT105" s="7"/>
      <c r="AU105" s="7"/>
      <c r="AV105" s="7"/>
      <c r="AW105" s="7"/>
      <c r="AX105" s="7"/>
      <c r="AY105" s="7"/>
      <c r="AZ105" s="8"/>
      <c r="BZ105" s="9"/>
      <c r="CA105" s="9"/>
      <c r="CB105" s="9"/>
      <c r="DM105" s="44">
        <f t="shared" si="335"/>
        <v>99</v>
      </c>
      <c r="DN105" s="41">
        <f t="shared" si="309"/>
        <v>12666583.5</v>
      </c>
      <c r="DO105" s="41">
        <f t="shared" si="336"/>
        <v>163228.55021367522</v>
      </c>
      <c r="DP105" s="42">
        <f t="shared" si="310"/>
        <v>0</v>
      </c>
      <c r="DQ105" s="42">
        <f t="shared" si="311"/>
        <v>0</v>
      </c>
      <c r="DR105" s="42">
        <f t="shared" si="312"/>
        <v>0</v>
      </c>
      <c r="DS105" s="42">
        <f t="shared" si="313"/>
        <v>0</v>
      </c>
      <c r="DT105" s="42">
        <f t="shared" si="314"/>
        <v>0</v>
      </c>
      <c r="DU105" s="42">
        <f t="shared" si="315"/>
        <v>0</v>
      </c>
      <c r="DV105" s="42">
        <f t="shared" si="316"/>
        <v>0</v>
      </c>
      <c r="DW105" s="42">
        <f t="shared" si="317"/>
        <v>0</v>
      </c>
      <c r="DX105" s="42">
        <f t="shared" si="318"/>
        <v>4339076.6169871967</v>
      </c>
      <c r="DY105" s="42">
        <f>IF(DM105="",DY104,DN105-SUM($DO$6:DO105)+SUM($DP$6:DV105)-SUM($DW$6:DW105))</f>
        <v>8327506.8830128033</v>
      </c>
      <c r="DZ105" s="43">
        <f t="shared" si="337"/>
        <v>0.6574390705285923</v>
      </c>
      <c r="EA105" s="43"/>
      <c r="EB105" s="43" t="str">
        <f t="shared" si="295"/>
        <v>False</v>
      </c>
      <c r="EC105" s="41">
        <f t="shared" si="286"/>
        <v>264480</v>
      </c>
      <c r="ED105" s="41">
        <f t="shared" si="287"/>
        <v>686673.49999999988</v>
      </c>
      <c r="EE105" s="41">
        <f t="shared" si="319"/>
        <v>902280</v>
      </c>
      <c r="EF105" s="41">
        <f t="shared" si="338"/>
        <v>14693.333333333334</v>
      </c>
      <c r="EG105" s="42">
        <f t="shared" si="339"/>
        <v>9537.1319444444434</v>
      </c>
      <c r="EH105" s="42">
        <f t="shared" si="340"/>
        <v>6265.8333333333321</v>
      </c>
      <c r="EI105" s="42">
        <f t="shared" si="320"/>
        <v>132240</v>
      </c>
      <c r="EJ105" s="42">
        <f t="shared" si="321"/>
        <v>257503</v>
      </c>
      <c r="EK105" s="42">
        <f t="shared" si="322"/>
        <v>620318</v>
      </c>
      <c r="EL105" s="42">
        <f>IF(DM105="","",EC105-SUM($EF$6:EF105)+SUM($DP$6:DP105))</f>
        <v>132239.99999999977</v>
      </c>
      <c r="EM105" s="42">
        <f>IF(DM105="","",ED105-SUM($EG$6:EG105)+SUM($DQ$6:DQ105))</f>
        <v>429170.93749999849</v>
      </c>
      <c r="EN105" s="42">
        <f>IF(DM105="","",EE105-SUM($EH$6:EH105)+SUM($DR$6:DR105))</f>
        <v>281962.50000000012</v>
      </c>
      <c r="EO105" s="152">
        <f t="shared" si="323"/>
        <v>0.45503301710042382</v>
      </c>
      <c r="EP105" s="43"/>
      <c r="EQ105" s="42">
        <f t="shared" si="324"/>
        <v>448050</v>
      </c>
      <c r="ER105" s="42">
        <f t="shared" si="325"/>
        <v>248100</v>
      </c>
      <c r="ES105" s="42">
        <f t="shared" si="341"/>
        <v>3733.75</v>
      </c>
      <c r="ET105" s="42">
        <f t="shared" si="342"/>
        <v>6122.9807692307695</v>
      </c>
      <c r="EU105" s="42">
        <f t="shared" si="326"/>
        <v>369641</v>
      </c>
      <c r="EV105" s="42">
        <f t="shared" si="327"/>
        <v>109975</v>
      </c>
      <c r="EW105" s="42">
        <f>IF(DM105="","",IF(DS105&gt;0,DS105,EQ105-SUM($ES$6:ES105)+SUM($DS$6:DS105)))</f>
        <v>78408.75</v>
      </c>
      <c r="EX105" s="42">
        <f>IF(DM105="","",IF(DT105&gt;0,DT105,ER105-SUM($ET$6:ET105)+SUM($DT$6:DT105)))</f>
        <v>138124.90384615469</v>
      </c>
      <c r="EY105" s="43">
        <f t="shared" si="328"/>
        <v>0.55673076923077258</v>
      </c>
      <c r="EZ105" s="43">
        <f t="shared" si="329"/>
        <v>0.17499999999999999</v>
      </c>
      <c r="FA105" s="43"/>
      <c r="FB105" s="42">
        <f t="shared" si="330"/>
        <v>4935000</v>
      </c>
      <c r="FC105" s="42">
        <f t="shared" si="331"/>
        <v>5182000</v>
      </c>
      <c r="FD105" s="41">
        <f t="shared" si="343"/>
        <v>89960.9375</v>
      </c>
      <c r="FE105" s="41">
        <f t="shared" si="344"/>
        <v>32914.583333333336</v>
      </c>
      <c r="FF105" s="42">
        <f t="shared" si="332"/>
        <v>1220286</v>
      </c>
      <c r="FG105" s="42">
        <f t="shared" si="333"/>
        <v>1629114</v>
      </c>
      <c r="FH105" s="42">
        <f>IF(DM105="","",IF(DU105&gt;0,DU105,FB105-SUM($FD$6:FD105)+SUM($DU$6:DU105)))</f>
        <v>3714713.5416666642</v>
      </c>
      <c r="FI105" s="42">
        <f>IF(DM105="","",FC105-SUM($FE$6:FE105)+SUM($DV$6:DV105)-SUM($DW$6:DW105))</f>
        <v>3552886.2499999963</v>
      </c>
      <c r="FJ105" s="152">
        <f t="shared" si="334"/>
        <v>0.71835522305690036</v>
      </c>
      <c r="FN105" s="8"/>
      <c r="FO105" s="8"/>
      <c r="FP105" s="8"/>
      <c r="FQ105" s="8"/>
      <c r="FR105" s="8"/>
      <c r="FS105" s="8"/>
      <c r="FT105" s="8"/>
      <c r="FU105" s="8"/>
      <c r="GC105" s="68">
        <f t="shared" si="298"/>
        <v>100</v>
      </c>
      <c r="GD105" s="78">
        <f t="shared" si="299"/>
        <v>0</v>
      </c>
      <c r="GE105" s="309">
        <f t="shared" si="300"/>
        <v>0.6445525214276705</v>
      </c>
      <c r="GF105" s="78">
        <f t="shared" si="301"/>
        <v>0</v>
      </c>
      <c r="GG105" s="310">
        <f t="shared" si="302"/>
        <v>0.4385790690029544</v>
      </c>
      <c r="GH105" s="78">
        <f t="shared" si="303"/>
        <v>0</v>
      </c>
      <c r="GI105" s="310">
        <f t="shared" si="304"/>
        <v>0.16666666666666666</v>
      </c>
      <c r="GJ105" s="311">
        <f t="shared" si="305"/>
        <v>0</v>
      </c>
      <c r="GK105" s="310">
        <f t="shared" si="306"/>
        <v>0.53205128205128549</v>
      </c>
      <c r="GL105" s="311">
        <f t="shared" si="307"/>
        <v>0</v>
      </c>
      <c r="GM105" s="310">
        <f t="shared" si="308"/>
        <v>0.70620977274224839</v>
      </c>
      <c r="HA105" s="13"/>
      <c r="HB105" s="24"/>
      <c r="HC105" s="13"/>
      <c r="HD105" s="13"/>
      <c r="HE105" s="13"/>
      <c r="HF105" s="13"/>
      <c r="HG105" s="13"/>
      <c r="HH105" s="13"/>
      <c r="HI105" s="13"/>
      <c r="HJ105" s="14"/>
      <c r="HK105" s="13"/>
      <c r="HL105" s="13"/>
    </row>
    <row r="106" spans="3:221" x14ac:dyDescent="0.2">
      <c r="C106" s="426">
        <f t="shared" si="243"/>
        <v>42430</v>
      </c>
      <c r="D106" s="155">
        <f t="shared" si="244"/>
        <v>38</v>
      </c>
      <c r="E106" s="155">
        <f t="shared" si="296"/>
        <v>12272520</v>
      </c>
      <c r="F106" s="155"/>
      <c r="G106" s="438">
        <f t="shared" si="297"/>
        <v>122596.73076923078</v>
      </c>
      <c r="I106" s="444">
        <f>IF(D106="","",'Mx FORECAST'!DX44)</f>
        <v>4287875.7692307662</v>
      </c>
      <c r="J106" s="155">
        <f>IF(D106="","",'Mx FORECAST'!DP44)</f>
        <v>0</v>
      </c>
      <c r="K106" s="155">
        <f>IF(D106="","",'Mx FORECAST'!DQ44)</f>
        <v>0</v>
      </c>
      <c r="M106" s="155">
        <f>IF(D106="","",'Mx FORECAST'!DR44)</f>
        <v>0</v>
      </c>
      <c r="O106" s="155">
        <f>IF(D106="","",'Mx FORECAST'!DS44)</f>
        <v>0</v>
      </c>
      <c r="Q106" s="155">
        <f>IF(D106="","",'Mx FORECAST'!DT44)</f>
        <v>0</v>
      </c>
      <c r="S106" s="155">
        <f>IF(D106="","",'Mx FORECAST'!DU44)</f>
        <v>0</v>
      </c>
      <c r="U106" s="155">
        <f>IF(D106="","",'Mx FORECAST'!DV44)</f>
        <v>0</v>
      </c>
      <c r="W106" s="540">
        <f>IF(D106="","",'Mx FORECAST'!DY44)</f>
        <v>7984644.2307692338</v>
      </c>
      <c r="X106" s="540"/>
      <c r="Y106" s="437">
        <f>IF(D106="","",'Mx FORECAST'!DZ44)</f>
        <v>0.65061162913315551</v>
      </c>
      <c r="AD106" s="155"/>
      <c r="AF106" s="155"/>
      <c r="AH106" s="155"/>
      <c r="AJ106" s="155"/>
      <c r="AK106" s="8"/>
      <c r="AL106" s="8"/>
      <c r="AM106" s="8"/>
      <c r="AN106" s="8"/>
      <c r="AO106" s="8"/>
      <c r="AP106" s="8"/>
      <c r="AQ106" s="7"/>
      <c r="AR106" s="7"/>
      <c r="AS106" s="7"/>
      <c r="AT106" s="7"/>
      <c r="AU106" s="7"/>
      <c r="AV106" s="7"/>
      <c r="AW106" s="7"/>
      <c r="AX106" s="7"/>
      <c r="AY106" s="7"/>
      <c r="AZ106" s="8"/>
      <c r="BZ106" s="9"/>
      <c r="CA106" s="9"/>
      <c r="CB106" s="9"/>
      <c r="DM106" s="44">
        <f t="shared" si="335"/>
        <v>100</v>
      </c>
      <c r="DN106" s="41">
        <f t="shared" si="309"/>
        <v>12666583.5</v>
      </c>
      <c r="DO106" s="41">
        <f t="shared" si="336"/>
        <v>163228.55021367522</v>
      </c>
      <c r="DP106" s="42">
        <f t="shared" si="310"/>
        <v>0</v>
      </c>
      <c r="DQ106" s="42">
        <f t="shared" si="311"/>
        <v>0</v>
      </c>
      <c r="DR106" s="42">
        <f t="shared" si="312"/>
        <v>0</v>
      </c>
      <c r="DS106" s="42">
        <f t="shared" si="313"/>
        <v>0</v>
      </c>
      <c r="DT106" s="42">
        <f t="shared" si="314"/>
        <v>0</v>
      </c>
      <c r="DU106" s="42">
        <f t="shared" si="315"/>
        <v>0</v>
      </c>
      <c r="DV106" s="42">
        <f t="shared" si="316"/>
        <v>0</v>
      </c>
      <c r="DW106" s="42">
        <f t="shared" si="317"/>
        <v>0</v>
      </c>
      <c r="DX106" s="42">
        <f t="shared" si="318"/>
        <v>4502305.1672008727</v>
      </c>
      <c r="DY106" s="42">
        <f>IF(DM106="",DY105,DN106-SUM($DO$6:DO106)+SUM($DP$6:DV106)-SUM($DW$6:DW106))</f>
        <v>8164278.3327991273</v>
      </c>
      <c r="DZ106" s="43">
        <f t="shared" si="337"/>
        <v>0.6445525214276705</v>
      </c>
      <c r="EA106" s="43"/>
      <c r="EB106" s="43" t="str">
        <f t="shared" si="295"/>
        <v>False</v>
      </c>
      <c r="EC106" s="41">
        <f t="shared" si="286"/>
        <v>264480</v>
      </c>
      <c r="ED106" s="41">
        <f t="shared" si="287"/>
        <v>686673.49999999988</v>
      </c>
      <c r="EE106" s="41">
        <f t="shared" si="319"/>
        <v>902280</v>
      </c>
      <c r="EF106" s="41">
        <f t="shared" si="338"/>
        <v>14693.333333333334</v>
      </c>
      <c r="EG106" s="42">
        <f t="shared" si="339"/>
        <v>9537.1319444444434</v>
      </c>
      <c r="EH106" s="42">
        <f t="shared" si="340"/>
        <v>6265.8333333333321</v>
      </c>
      <c r="EI106" s="42">
        <f t="shared" si="320"/>
        <v>146933</v>
      </c>
      <c r="EJ106" s="42">
        <f t="shared" si="321"/>
        <v>267040</v>
      </c>
      <c r="EK106" s="42">
        <f t="shared" si="322"/>
        <v>626583</v>
      </c>
      <c r="EL106" s="42">
        <f>IF(DM106="","",EC106-SUM($EF$6:EF106)+SUM($DP$6:DP106))</f>
        <v>117546.66666666651</v>
      </c>
      <c r="EM106" s="42">
        <f>IF(DM106="","",ED106-SUM($EG$6:EG106)+SUM($DQ$6:DQ106))</f>
        <v>419633.80555555399</v>
      </c>
      <c r="EN106" s="42">
        <f>IF(DM106="","",EE106-SUM($EH$6:EH106)+SUM($DR$6:DR106))</f>
        <v>275696.66666666674</v>
      </c>
      <c r="EO106" s="152">
        <f t="shared" si="323"/>
        <v>0.4385790690029544</v>
      </c>
      <c r="EP106" s="43"/>
      <c r="EQ106" s="42">
        <f t="shared" si="324"/>
        <v>448050</v>
      </c>
      <c r="ER106" s="42">
        <f t="shared" si="325"/>
        <v>248100</v>
      </c>
      <c r="ES106" s="42">
        <f t="shared" si="341"/>
        <v>3733.75</v>
      </c>
      <c r="ET106" s="42">
        <f t="shared" si="342"/>
        <v>6122.9807692307695</v>
      </c>
      <c r="EU106" s="42">
        <f t="shared" si="326"/>
        <v>373375</v>
      </c>
      <c r="EV106" s="42">
        <f t="shared" si="327"/>
        <v>116098</v>
      </c>
      <c r="EW106" s="42">
        <f>IF(DM106="","",IF(DS106&gt;0,DS106,EQ106-SUM($ES$6:ES106)+SUM($DS$6:DS106)))</f>
        <v>74675</v>
      </c>
      <c r="EX106" s="42">
        <f>IF(DM106="","",IF(DT106&gt;0,DT106,ER106-SUM($ET$6:ET106)+SUM($DT$6:DT106)))</f>
        <v>132001.92307692394</v>
      </c>
      <c r="EY106" s="43">
        <f t="shared" si="328"/>
        <v>0.53205128205128549</v>
      </c>
      <c r="EZ106" s="43">
        <f t="shared" si="329"/>
        <v>0.16666666666666666</v>
      </c>
      <c r="FA106" s="43"/>
      <c r="FB106" s="42">
        <f t="shared" si="330"/>
        <v>4935000</v>
      </c>
      <c r="FC106" s="42">
        <f t="shared" si="331"/>
        <v>5182000</v>
      </c>
      <c r="FD106" s="41">
        <f t="shared" si="343"/>
        <v>89960.9375</v>
      </c>
      <c r="FE106" s="41">
        <f t="shared" si="344"/>
        <v>32914.583333333336</v>
      </c>
      <c r="FF106" s="42">
        <f t="shared" si="332"/>
        <v>1310247</v>
      </c>
      <c r="FG106" s="42">
        <f t="shared" si="333"/>
        <v>1662028</v>
      </c>
      <c r="FH106" s="42">
        <f>IF(DM106="","",IF(DU106&gt;0,DU106,FB106-SUM($FD$6:FD106)+SUM($DU$6:DU106)))</f>
        <v>3624752.6041666642</v>
      </c>
      <c r="FI106" s="42">
        <f>IF(DM106="","",FC106-SUM($FE$6:FE106)+SUM($DV$6:DV106)-SUM($DW$6:DW106))</f>
        <v>3519971.6666666623</v>
      </c>
      <c r="FJ106" s="152">
        <f t="shared" si="334"/>
        <v>0.70620977274224839</v>
      </c>
      <c r="FN106" s="8"/>
      <c r="FO106" s="8"/>
      <c r="FP106" s="8"/>
      <c r="FQ106" s="8"/>
      <c r="FR106" s="8"/>
      <c r="FS106" s="8"/>
      <c r="FT106" s="8"/>
      <c r="FU106" s="8"/>
      <c r="GC106" s="68">
        <f t="shared" si="298"/>
        <v>101</v>
      </c>
      <c r="GD106" s="78">
        <f t="shared" si="299"/>
        <v>0</v>
      </c>
      <c r="GE106" s="309">
        <f t="shared" si="300"/>
        <v>0.6316659723267487</v>
      </c>
      <c r="GF106" s="78">
        <f t="shared" si="301"/>
        <v>0</v>
      </c>
      <c r="GG106" s="310">
        <f t="shared" si="302"/>
        <v>0.42212512090548493</v>
      </c>
      <c r="GH106" s="78">
        <f t="shared" si="303"/>
        <v>0</v>
      </c>
      <c r="GI106" s="310">
        <f t="shared" si="304"/>
        <v>0.15833333333333333</v>
      </c>
      <c r="GJ106" s="311">
        <f t="shared" si="305"/>
        <v>0</v>
      </c>
      <c r="GK106" s="310">
        <f t="shared" si="306"/>
        <v>0.5073717948717984</v>
      </c>
      <c r="GL106" s="311">
        <f t="shared" si="307"/>
        <v>0</v>
      </c>
      <c r="GM106" s="310">
        <f t="shared" si="308"/>
        <v>0.69406432242759641</v>
      </c>
      <c r="HA106" s="13"/>
      <c r="HB106" s="24"/>
      <c r="HC106" s="13"/>
      <c r="HD106" s="13"/>
      <c r="HE106" s="13"/>
      <c r="HF106" s="13"/>
      <c r="HG106" s="13"/>
      <c r="HH106" s="13"/>
      <c r="HI106" s="13"/>
      <c r="HJ106" s="14"/>
      <c r="HK106" s="13"/>
      <c r="HL106" s="13"/>
    </row>
    <row r="107" spans="3:221" x14ac:dyDescent="0.2">
      <c r="C107" s="426">
        <f t="shared" si="243"/>
        <v>42461</v>
      </c>
      <c r="D107" s="155">
        <f t="shared" si="244"/>
        <v>39</v>
      </c>
      <c r="E107" s="155">
        <f t="shared" si="296"/>
        <v>12272520</v>
      </c>
      <c r="F107" s="155"/>
      <c r="G107" s="438">
        <f t="shared" si="297"/>
        <v>122596.73076923078</v>
      </c>
      <c r="I107" s="444">
        <f>IF(D107="","",'Mx FORECAST'!DX45)</f>
        <v>4410472.4999999972</v>
      </c>
      <c r="J107" s="155">
        <f>IF(D107="","",'Mx FORECAST'!DP45)</f>
        <v>0</v>
      </c>
      <c r="K107" s="155">
        <f>IF(D107="","",'Mx FORECAST'!DQ45)</f>
        <v>0</v>
      </c>
      <c r="M107" s="155">
        <f>IF(D107="","",'Mx FORECAST'!DR45)</f>
        <v>0</v>
      </c>
      <c r="O107" s="155">
        <f>IF(D107="","",'Mx FORECAST'!DS45)</f>
        <v>0</v>
      </c>
      <c r="Q107" s="155">
        <f>IF(D107="","",'Mx FORECAST'!DT45)</f>
        <v>0</v>
      </c>
      <c r="S107" s="155">
        <f>IF(D107="","",'Mx FORECAST'!DU45)</f>
        <v>0</v>
      </c>
      <c r="U107" s="155">
        <f>IF(D107="","",'Mx FORECAST'!DV45)</f>
        <v>0</v>
      </c>
      <c r="W107" s="540">
        <f>IF(D107="","",'Mx FORECAST'!DY45)</f>
        <v>7862047.5000000028</v>
      </c>
      <c r="X107" s="540"/>
      <c r="Y107" s="437">
        <f>IF(D107="","",'Mx FORECAST'!DZ45)</f>
        <v>0.64062209717319696</v>
      </c>
      <c r="AD107" s="155"/>
      <c r="AF107" s="155"/>
      <c r="AH107" s="155"/>
      <c r="AJ107" s="155"/>
      <c r="AK107" s="8"/>
      <c r="AL107" s="8"/>
      <c r="AM107" s="8"/>
      <c r="AN107" s="8"/>
      <c r="AO107" s="8"/>
      <c r="AP107" s="8"/>
      <c r="AQ107" s="7"/>
      <c r="AR107" s="7"/>
      <c r="AS107" s="7"/>
      <c r="AT107" s="7"/>
      <c r="AU107" s="7"/>
      <c r="AV107" s="7"/>
      <c r="AW107" s="7"/>
      <c r="AX107" s="7"/>
      <c r="AY107" s="7"/>
      <c r="AZ107" s="8"/>
      <c r="BZ107" s="9"/>
      <c r="CA107" s="9"/>
      <c r="CB107" s="9"/>
      <c r="DM107" s="44">
        <f t="shared" si="335"/>
        <v>101</v>
      </c>
      <c r="DN107" s="41">
        <f t="shared" si="309"/>
        <v>12666583.5</v>
      </c>
      <c r="DO107" s="41">
        <f t="shared" si="336"/>
        <v>163228.55021367522</v>
      </c>
      <c r="DP107" s="42">
        <f t="shared" si="310"/>
        <v>0</v>
      </c>
      <c r="DQ107" s="42">
        <f t="shared" si="311"/>
        <v>0</v>
      </c>
      <c r="DR107" s="42">
        <f t="shared" si="312"/>
        <v>0</v>
      </c>
      <c r="DS107" s="42">
        <f t="shared" si="313"/>
        <v>0</v>
      </c>
      <c r="DT107" s="42">
        <f t="shared" si="314"/>
        <v>0</v>
      </c>
      <c r="DU107" s="42">
        <f t="shared" si="315"/>
        <v>0</v>
      </c>
      <c r="DV107" s="42">
        <f t="shared" si="316"/>
        <v>0</v>
      </c>
      <c r="DW107" s="42">
        <f t="shared" si="317"/>
        <v>0</v>
      </c>
      <c r="DX107" s="42">
        <f t="shared" si="318"/>
        <v>4665533.7174145486</v>
      </c>
      <c r="DY107" s="42">
        <f>IF(DM107="",DY106,DN107-SUM($DO$6:DO107)+SUM($DP$6:DV107)-SUM($DW$6:DW107))</f>
        <v>8001049.7825854514</v>
      </c>
      <c r="DZ107" s="43">
        <f t="shared" si="337"/>
        <v>0.6316659723267487</v>
      </c>
      <c r="EA107" s="43"/>
      <c r="EB107" s="43" t="str">
        <f t="shared" si="295"/>
        <v>False</v>
      </c>
      <c r="EC107" s="41">
        <f t="shared" si="286"/>
        <v>264480</v>
      </c>
      <c r="ED107" s="41">
        <f t="shared" si="287"/>
        <v>686673.49999999988</v>
      </c>
      <c r="EE107" s="41">
        <f t="shared" si="319"/>
        <v>902280</v>
      </c>
      <c r="EF107" s="41">
        <f t="shared" si="338"/>
        <v>14693.333333333334</v>
      </c>
      <c r="EG107" s="42">
        <f t="shared" si="339"/>
        <v>9537.1319444444434</v>
      </c>
      <c r="EH107" s="42">
        <f t="shared" si="340"/>
        <v>6265.8333333333321</v>
      </c>
      <c r="EI107" s="42">
        <f t="shared" si="320"/>
        <v>161627</v>
      </c>
      <c r="EJ107" s="42">
        <f t="shared" si="321"/>
        <v>276577</v>
      </c>
      <c r="EK107" s="42">
        <f t="shared" si="322"/>
        <v>632849</v>
      </c>
      <c r="EL107" s="42">
        <f>IF(DM107="","",EC107-SUM($EF$6:EF107)+SUM($DP$6:DP107))</f>
        <v>102853.33333333326</v>
      </c>
      <c r="EM107" s="42">
        <f>IF(DM107="","",ED107-SUM($EG$6:EG107)+SUM($DQ$6:DQ107))</f>
        <v>410096.67361110949</v>
      </c>
      <c r="EN107" s="42">
        <f>IF(DM107="","",EE107-SUM($EH$6:EH107)+SUM($DR$6:DR107))</f>
        <v>269430.83333333337</v>
      </c>
      <c r="EO107" s="152">
        <f t="shared" si="323"/>
        <v>0.42212512090548493</v>
      </c>
      <c r="EP107" s="43"/>
      <c r="EQ107" s="42">
        <f t="shared" si="324"/>
        <v>448050</v>
      </c>
      <c r="ER107" s="42">
        <f t="shared" si="325"/>
        <v>248100</v>
      </c>
      <c r="ES107" s="42">
        <f t="shared" si="341"/>
        <v>3733.75</v>
      </c>
      <c r="ET107" s="42">
        <f t="shared" si="342"/>
        <v>6122.9807692307695</v>
      </c>
      <c r="EU107" s="42">
        <f t="shared" si="326"/>
        <v>377109</v>
      </c>
      <c r="EV107" s="42">
        <f t="shared" si="327"/>
        <v>122221</v>
      </c>
      <c r="EW107" s="42">
        <f>IF(DM107="","",IF(DS107&gt;0,DS107,EQ107-SUM($ES$6:ES107)+SUM($DS$6:DS107)))</f>
        <v>70941.25</v>
      </c>
      <c r="EX107" s="42">
        <f>IF(DM107="","",IF(DT107&gt;0,DT107,ER107-SUM($ET$6:ET107)+SUM($DT$6:DT107)))</f>
        <v>125878.94230769319</v>
      </c>
      <c r="EY107" s="43">
        <f t="shared" si="328"/>
        <v>0.5073717948717984</v>
      </c>
      <c r="EZ107" s="43">
        <f t="shared" si="329"/>
        <v>0.15833333333333333</v>
      </c>
      <c r="FA107" s="43"/>
      <c r="FB107" s="42">
        <f t="shared" si="330"/>
        <v>4935000</v>
      </c>
      <c r="FC107" s="42">
        <f t="shared" si="331"/>
        <v>5182000</v>
      </c>
      <c r="FD107" s="41">
        <f t="shared" si="343"/>
        <v>89960.9375</v>
      </c>
      <c r="FE107" s="41">
        <f t="shared" si="344"/>
        <v>32914.583333333336</v>
      </c>
      <c r="FF107" s="42">
        <f t="shared" si="332"/>
        <v>1400208</v>
      </c>
      <c r="FG107" s="42">
        <f t="shared" si="333"/>
        <v>1694943</v>
      </c>
      <c r="FH107" s="42">
        <f>IF(DM107="","",IF(DU107&gt;0,DU107,FB107-SUM($FD$6:FD107)+SUM($DU$6:DU107)))</f>
        <v>3534791.6666666642</v>
      </c>
      <c r="FI107" s="42">
        <f>IF(DM107="","",FC107-SUM($FE$6:FE107)+SUM($DV$6:DV107)-SUM($DW$6:DW107))</f>
        <v>3487057.0833333293</v>
      </c>
      <c r="FJ107" s="152">
        <f t="shared" si="334"/>
        <v>0.69406432242759641</v>
      </c>
      <c r="FN107" s="8"/>
      <c r="FO107" s="8"/>
      <c r="FP107" s="8"/>
      <c r="FQ107" s="8"/>
      <c r="FR107" s="8"/>
      <c r="FS107" s="8"/>
      <c r="FT107" s="8"/>
      <c r="FU107" s="8"/>
      <c r="GC107" s="68">
        <f t="shared" si="298"/>
        <v>102</v>
      </c>
      <c r="GD107" s="78">
        <f t="shared" si="299"/>
        <v>0</v>
      </c>
      <c r="GE107" s="309">
        <f t="shared" si="300"/>
        <v>0.61877942322582691</v>
      </c>
      <c r="GF107" s="78">
        <f t="shared" si="301"/>
        <v>0</v>
      </c>
      <c r="GG107" s="310">
        <f t="shared" si="302"/>
        <v>0.40567117280801551</v>
      </c>
      <c r="GH107" s="78">
        <f t="shared" si="303"/>
        <v>0</v>
      </c>
      <c r="GI107" s="310">
        <f t="shared" si="304"/>
        <v>0.15</v>
      </c>
      <c r="GJ107" s="311">
        <f t="shared" si="305"/>
        <v>0</v>
      </c>
      <c r="GK107" s="310">
        <f t="shared" si="306"/>
        <v>0.48269230769231131</v>
      </c>
      <c r="GL107" s="311">
        <f t="shared" si="307"/>
        <v>0</v>
      </c>
      <c r="GM107" s="310">
        <f t="shared" si="308"/>
        <v>0.68191887211294455</v>
      </c>
      <c r="HA107" s="13"/>
      <c r="HB107" s="24"/>
      <c r="HC107" s="13"/>
      <c r="HD107" s="13"/>
      <c r="HE107" s="13"/>
      <c r="HF107" s="13"/>
      <c r="HG107" s="13"/>
      <c r="HH107" s="13"/>
      <c r="HI107" s="13"/>
      <c r="HJ107" s="14"/>
      <c r="HK107" s="13"/>
      <c r="HL107" s="13"/>
    </row>
    <row r="108" spans="3:221" x14ac:dyDescent="0.2">
      <c r="C108" s="426">
        <f t="shared" si="243"/>
        <v>42491</v>
      </c>
      <c r="D108" s="155">
        <f t="shared" si="244"/>
        <v>40</v>
      </c>
      <c r="E108" s="155">
        <f t="shared" si="296"/>
        <v>12272520</v>
      </c>
      <c r="F108" s="155"/>
      <c r="G108" s="438">
        <f t="shared" si="297"/>
        <v>122596.73076923078</v>
      </c>
      <c r="I108" s="444">
        <f>IF(D108="","",'Mx FORECAST'!DX46)</f>
        <v>4533069.2307692282</v>
      </c>
      <c r="J108" s="155">
        <f>IF(D108="","",'Mx FORECAST'!DP46)</f>
        <v>0</v>
      </c>
      <c r="K108" s="155">
        <f>IF(D108="","",'Mx FORECAST'!DQ46)</f>
        <v>0</v>
      </c>
      <c r="M108" s="155">
        <f>IF(D108="","",'Mx FORECAST'!DR46)</f>
        <v>0</v>
      </c>
      <c r="O108" s="155">
        <f>IF(D108="","",'Mx FORECAST'!DS46)</f>
        <v>0</v>
      </c>
      <c r="Q108" s="155">
        <f>IF(D108="","",'Mx FORECAST'!DT46)</f>
        <v>0</v>
      </c>
      <c r="S108" s="155">
        <f>IF(D108="","",'Mx FORECAST'!DU46)</f>
        <v>0</v>
      </c>
      <c r="U108" s="155">
        <f>IF(D108="","",'Mx FORECAST'!DV46)</f>
        <v>0</v>
      </c>
      <c r="W108" s="540">
        <f>IF(D108="","",'Mx FORECAST'!DY46)</f>
        <v>7739450.7692307718</v>
      </c>
      <c r="X108" s="540"/>
      <c r="Y108" s="437">
        <f>IF(D108="","",'Mx FORECAST'!DZ46)</f>
        <v>0.63063256521323829</v>
      </c>
      <c r="AD108" s="155"/>
      <c r="AF108" s="155"/>
      <c r="AH108" s="155"/>
      <c r="AJ108" s="155"/>
      <c r="AK108" s="8"/>
      <c r="AL108" s="8"/>
      <c r="AM108" s="8"/>
      <c r="AN108" s="8"/>
      <c r="AO108" s="8"/>
      <c r="AP108" s="8"/>
      <c r="AQ108" s="7"/>
      <c r="AR108" s="7"/>
      <c r="AS108" s="7"/>
      <c r="AT108" s="7"/>
      <c r="AU108" s="7"/>
      <c r="AV108" s="7"/>
      <c r="AW108" s="7"/>
      <c r="AX108" s="7"/>
      <c r="AY108" s="7"/>
      <c r="AZ108" s="8"/>
      <c r="BZ108" s="9"/>
      <c r="CA108" s="9"/>
      <c r="CB108" s="9"/>
      <c r="DM108" s="44">
        <f t="shared" si="335"/>
        <v>102</v>
      </c>
      <c r="DN108" s="41">
        <f t="shared" si="309"/>
        <v>12666583.5</v>
      </c>
      <c r="DO108" s="41">
        <f t="shared" si="336"/>
        <v>163228.55021367522</v>
      </c>
      <c r="DP108" s="42">
        <f t="shared" si="310"/>
        <v>0</v>
      </c>
      <c r="DQ108" s="42">
        <f t="shared" si="311"/>
        <v>0</v>
      </c>
      <c r="DR108" s="42">
        <f t="shared" si="312"/>
        <v>0</v>
      </c>
      <c r="DS108" s="42">
        <f t="shared" si="313"/>
        <v>0</v>
      </c>
      <c r="DT108" s="42">
        <f t="shared" si="314"/>
        <v>0</v>
      </c>
      <c r="DU108" s="42">
        <f t="shared" si="315"/>
        <v>0</v>
      </c>
      <c r="DV108" s="42">
        <f t="shared" si="316"/>
        <v>0</v>
      </c>
      <c r="DW108" s="42">
        <f t="shared" si="317"/>
        <v>0</v>
      </c>
      <c r="DX108" s="42">
        <f t="shared" si="318"/>
        <v>4828762.2676282246</v>
      </c>
      <c r="DY108" s="42">
        <f>IF(DM108="",DY107,DN108-SUM($DO$6:DO108)+SUM($DP$6:DV108)-SUM($DW$6:DW108))</f>
        <v>7837821.2323717754</v>
      </c>
      <c r="DZ108" s="43">
        <f t="shared" si="337"/>
        <v>0.61877942322582691</v>
      </c>
      <c r="EA108" s="43"/>
      <c r="EB108" s="43" t="str">
        <f t="shared" si="295"/>
        <v>False</v>
      </c>
      <c r="EC108" s="41">
        <f t="shared" si="286"/>
        <v>264480</v>
      </c>
      <c r="ED108" s="41">
        <f t="shared" si="287"/>
        <v>686673.49999999988</v>
      </c>
      <c r="EE108" s="41">
        <f t="shared" si="319"/>
        <v>902280</v>
      </c>
      <c r="EF108" s="41">
        <f t="shared" si="338"/>
        <v>14693.333333333334</v>
      </c>
      <c r="EG108" s="42">
        <f t="shared" si="339"/>
        <v>9537.1319444444434</v>
      </c>
      <c r="EH108" s="42">
        <f t="shared" si="340"/>
        <v>6265.8333333333321</v>
      </c>
      <c r="EI108" s="42">
        <f t="shared" si="320"/>
        <v>176320</v>
      </c>
      <c r="EJ108" s="42">
        <f t="shared" si="321"/>
        <v>286114</v>
      </c>
      <c r="EK108" s="42">
        <f t="shared" si="322"/>
        <v>639115</v>
      </c>
      <c r="EL108" s="42">
        <f>IF(DM108="","",EC108-SUM($EF$6:EF108)+SUM($DP$6:DP108))</f>
        <v>88160</v>
      </c>
      <c r="EM108" s="42">
        <f>IF(DM108="","",ED108-SUM($EG$6:EG108)+SUM($DQ$6:DQ108))</f>
        <v>400559.541666665</v>
      </c>
      <c r="EN108" s="42">
        <f>IF(DM108="","",EE108-SUM($EH$6:EH108)+SUM($DR$6:DR108))</f>
        <v>263165</v>
      </c>
      <c r="EO108" s="152">
        <f t="shared" si="323"/>
        <v>0.40567117280801551</v>
      </c>
      <c r="EP108" s="43"/>
      <c r="EQ108" s="42">
        <f t="shared" si="324"/>
        <v>448050</v>
      </c>
      <c r="ER108" s="42">
        <f t="shared" si="325"/>
        <v>248100</v>
      </c>
      <c r="ES108" s="42">
        <f t="shared" si="341"/>
        <v>3733.75</v>
      </c>
      <c r="ET108" s="42">
        <f t="shared" si="342"/>
        <v>6122.9807692307695</v>
      </c>
      <c r="EU108" s="42">
        <f t="shared" si="326"/>
        <v>380843</v>
      </c>
      <c r="EV108" s="42">
        <f t="shared" si="327"/>
        <v>128344</v>
      </c>
      <c r="EW108" s="42">
        <f>IF(DM108="","",IF(DS108&gt;0,DS108,EQ108-SUM($ES$6:ES108)+SUM($DS$6:DS108)))</f>
        <v>67207.5</v>
      </c>
      <c r="EX108" s="42">
        <f>IF(DM108="","",IF(DT108&gt;0,DT108,ER108-SUM($ET$6:ET108)+SUM($DT$6:DT108)))</f>
        <v>119755.96153846243</v>
      </c>
      <c r="EY108" s="43">
        <f t="shared" si="328"/>
        <v>0.48269230769231131</v>
      </c>
      <c r="EZ108" s="43">
        <f t="shared" si="329"/>
        <v>0.15</v>
      </c>
      <c r="FA108" s="43"/>
      <c r="FB108" s="42">
        <f t="shared" si="330"/>
        <v>4935000</v>
      </c>
      <c r="FC108" s="42">
        <f t="shared" si="331"/>
        <v>5182000</v>
      </c>
      <c r="FD108" s="41">
        <f t="shared" si="343"/>
        <v>89960.9375</v>
      </c>
      <c r="FE108" s="41">
        <f t="shared" si="344"/>
        <v>32914.583333333336</v>
      </c>
      <c r="FF108" s="42">
        <f t="shared" si="332"/>
        <v>1490169</v>
      </c>
      <c r="FG108" s="42">
        <f t="shared" si="333"/>
        <v>1727858</v>
      </c>
      <c r="FH108" s="42">
        <f>IF(DM108="","",IF(DU108&gt;0,DU108,FB108-SUM($FD$6:FD108)+SUM($DU$6:DU108)))</f>
        <v>3444830.7291666642</v>
      </c>
      <c r="FI108" s="42">
        <f>IF(DM108="","",FC108-SUM($FE$6:FE108)+SUM($DV$6:DV108)-SUM($DW$6:DW108))</f>
        <v>3454142.4999999963</v>
      </c>
      <c r="FJ108" s="152">
        <f t="shared" si="334"/>
        <v>0.68191887211294455</v>
      </c>
      <c r="FN108" s="8"/>
      <c r="FO108" s="8"/>
      <c r="FP108" s="8"/>
      <c r="FQ108" s="8"/>
      <c r="FR108" s="8"/>
      <c r="FS108" s="8"/>
      <c r="FT108" s="8"/>
      <c r="FU108" s="8"/>
      <c r="GC108" s="68">
        <f t="shared" si="298"/>
        <v>103</v>
      </c>
      <c r="GD108" s="78">
        <f t="shared" si="299"/>
        <v>0</v>
      </c>
      <c r="GE108" s="309">
        <f t="shared" si="300"/>
        <v>0.60589287412490511</v>
      </c>
      <c r="GF108" s="78">
        <f t="shared" si="301"/>
        <v>0</v>
      </c>
      <c r="GG108" s="310">
        <f t="shared" si="302"/>
        <v>0.38921722471054604</v>
      </c>
      <c r="GH108" s="78">
        <f t="shared" si="303"/>
        <v>0</v>
      </c>
      <c r="GI108" s="310">
        <f t="shared" si="304"/>
        <v>0.14166666666666666</v>
      </c>
      <c r="GJ108" s="311">
        <f t="shared" si="305"/>
        <v>0</v>
      </c>
      <c r="GK108" s="310">
        <f t="shared" si="306"/>
        <v>0.45801282051282421</v>
      </c>
      <c r="GL108" s="311">
        <f t="shared" si="307"/>
        <v>0</v>
      </c>
      <c r="GM108" s="310">
        <f t="shared" si="308"/>
        <v>0.66977342179829258</v>
      </c>
      <c r="HA108" s="13"/>
      <c r="HB108" s="24"/>
      <c r="HC108" s="13"/>
      <c r="HD108" s="13"/>
      <c r="HE108" s="13"/>
      <c r="HF108" s="13"/>
      <c r="HG108" s="13"/>
      <c r="HH108" s="13"/>
      <c r="HI108" s="13"/>
      <c r="HJ108" s="14"/>
      <c r="HK108" s="13"/>
      <c r="HL108" s="13"/>
    </row>
    <row r="109" spans="3:221" x14ac:dyDescent="0.2">
      <c r="C109" s="426">
        <f t="shared" si="243"/>
        <v>42522</v>
      </c>
      <c r="D109" s="155">
        <f t="shared" si="244"/>
        <v>41</v>
      </c>
      <c r="E109" s="155">
        <f t="shared" si="296"/>
        <v>12272520</v>
      </c>
      <c r="F109" s="155"/>
      <c r="G109" s="438">
        <f t="shared" si="297"/>
        <v>122596.73076923078</v>
      </c>
      <c r="I109" s="444">
        <f>IF(D109="","",'Mx FORECAST'!DX47)</f>
        <v>4407565.9615384592</v>
      </c>
      <c r="J109" s="155">
        <f>IF(D109="","",'Mx FORECAST'!DP47)</f>
        <v>0</v>
      </c>
      <c r="K109" s="155">
        <f>IF(D109="","",'Mx FORECAST'!DQ47)</f>
        <v>0</v>
      </c>
      <c r="M109" s="155">
        <f>IF(D109="","",'Mx FORECAST'!DR47)</f>
        <v>0</v>
      </c>
      <c r="O109" s="155">
        <f>IF(D109="","",'Mx FORECAST'!DS47)</f>
        <v>0</v>
      </c>
      <c r="Q109" s="155">
        <f>IF(D109="","",'Mx FORECAST'!DT47)</f>
        <v>248100</v>
      </c>
      <c r="S109" s="155">
        <f>IF(D109="","",'Mx FORECAST'!DU47)</f>
        <v>0</v>
      </c>
      <c r="U109" s="155">
        <f>IF(D109="","",'Mx FORECAST'!DV47)</f>
        <v>0</v>
      </c>
      <c r="W109" s="540">
        <f>IF(D109="","",'Mx FORECAST'!DY47)</f>
        <v>7864954.0384615408</v>
      </c>
      <c r="X109" s="540"/>
      <c r="Y109" s="437">
        <f>IF(D109="","",'Mx FORECAST'!DZ47)</f>
        <v>0.64085893023287321</v>
      </c>
      <c r="AD109" s="155"/>
      <c r="AF109" s="155"/>
      <c r="AH109" s="155"/>
      <c r="AJ109" s="155"/>
      <c r="AK109" s="8"/>
      <c r="AL109" s="8"/>
      <c r="AM109" s="8"/>
      <c r="AN109" s="8"/>
      <c r="AO109" s="8"/>
      <c r="AP109" s="8"/>
      <c r="AQ109" s="7"/>
      <c r="AR109" s="7"/>
      <c r="AS109" s="7"/>
      <c r="AT109" s="7"/>
      <c r="AU109" s="7"/>
      <c r="AV109" s="7"/>
      <c r="AW109" s="7"/>
      <c r="AX109" s="7"/>
      <c r="AY109" s="7"/>
      <c r="AZ109" s="8"/>
      <c r="BZ109" s="9"/>
      <c r="CA109" s="9"/>
      <c r="CB109" s="9"/>
      <c r="DM109" s="44">
        <f t="shared" si="335"/>
        <v>103</v>
      </c>
      <c r="DN109" s="41">
        <f t="shared" si="309"/>
        <v>12666583.5</v>
      </c>
      <c r="DO109" s="41">
        <f t="shared" si="336"/>
        <v>163228.55021367522</v>
      </c>
      <c r="DP109" s="42">
        <f t="shared" si="310"/>
        <v>0</v>
      </c>
      <c r="DQ109" s="42">
        <f t="shared" si="311"/>
        <v>0</v>
      </c>
      <c r="DR109" s="42">
        <f t="shared" si="312"/>
        <v>0</v>
      </c>
      <c r="DS109" s="42">
        <f t="shared" si="313"/>
        <v>0</v>
      </c>
      <c r="DT109" s="42">
        <f t="shared" si="314"/>
        <v>0</v>
      </c>
      <c r="DU109" s="42">
        <f t="shared" si="315"/>
        <v>0</v>
      </c>
      <c r="DV109" s="42">
        <f t="shared" si="316"/>
        <v>0</v>
      </c>
      <c r="DW109" s="42">
        <f t="shared" si="317"/>
        <v>0</v>
      </c>
      <c r="DX109" s="42">
        <f t="shared" si="318"/>
        <v>4991990.8178419005</v>
      </c>
      <c r="DY109" s="42">
        <f>IF(DM109="",DY108,DN109-SUM($DO$6:DO109)+SUM($DP$6:DV109)-SUM($DW$6:DW109))</f>
        <v>7674592.6821580995</v>
      </c>
      <c r="DZ109" s="43">
        <f t="shared" si="337"/>
        <v>0.60589287412490511</v>
      </c>
      <c r="EA109" s="43"/>
      <c r="EB109" s="43" t="str">
        <f t="shared" si="295"/>
        <v>False</v>
      </c>
      <c r="EC109" s="41">
        <f t="shared" si="286"/>
        <v>264480</v>
      </c>
      <c r="ED109" s="41">
        <f t="shared" si="287"/>
        <v>686673.49999999988</v>
      </c>
      <c r="EE109" s="41">
        <f t="shared" si="319"/>
        <v>902280</v>
      </c>
      <c r="EF109" s="41">
        <f t="shared" si="338"/>
        <v>14693.333333333334</v>
      </c>
      <c r="EG109" s="42">
        <f t="shared" si="339"/>
        <v>9537.1319444444434</v>
      </c>
      <c r="EH109" s="42">
        <f t="shared" si="340"/>
        <v>6265.8333333333321</v>
      </c>
      <c r="EI109" s="42">
        <f t="shared" si="320"/>
        <v>191013</v>
      </c>
      <c r="EJ109" s="42">
        <f t="shared" si="321"/>
        <v>295651</v>
      </c>
      <c r="EK109" s="42">
        <f t="shared" si="322"/>
        <v>645381</v>
      </c>
      <c r="EL109" s="42">
        <f>IF(DM109="","",EC109-SUM($EF$6:EF109)+SUM($DP$6:DP109))</f>
        <v>73466.666666666744</v>
      </c>
      <c r="EM109" s="42">
        <f>IF(DM109="","",ED109-SUM($EG$6:EG109)+SUM($DQ$6:DQ109))</f>
        <v>391022.4097222205</v>
      </c>
      <c r="EN109" s="42">
        <f>IF(DM109="","",EE109-SUM($EH$6:EH109)+SUM($DR$6:DR109))</f>
        <v>256899.16666666663</v>
      </c>
      <c r="EO109" s="152">
        <f t="shared" si="323"/>
        <v>0.38921722471054604</v>
      </c>
      <c r="EP109" s="43"/>
      <c r="EQ109" s="42">
        <f t="shared" si="324"/>
        <v>448050</v>
      </c>
      <c r="ER109" s="42">
        <f t="shared" si="325"/>
        <v>248100</v>
      </c>
      <c r="ES109" s="42">
        <f t="shared" si="341"/>
        <v>3733.75</v>
      </c>
      <c r="ET109" s="42">
        <f t="shared" si="342"/>
        <v>6122.9807692307695</v>
      </c>
      <c r="EU109" s="42">
        <f t="shared" si="326"/>
        <v>384576</v>
      </c>
      <c r="EV109" s="42">
        <f t="shared" si="327"/>
        <v>134467</v>
      </c>
      <c r="EW109" s="42">
        <f>IF(DM109="","",IF(DS109&gt;0,DS109,EQ109-SUM($ES$6:ES109)+SUM($DS$6:DS109)))</f>
        <v>63473.75</v>
      </c>
      <c r="EX109" s="42">
        <f>IF(DM109="","",IF(DT109&gt;0,DT109,ER109-SUM($ET$6:ET109)+SUM($DT$6:DT109)))</f>
        <v>113632.98076923168</v>
      </c>
      <c r="EY109" s="43">
        <f t="shared" si="328"/>
        <v>0.45801282051282421</v>
      </c>
      <c r="EZ109" s="43">
        <f t="shared" si="329"/>
        <v>0.14166666666666666</v>
      </c>
      <c r="FA109" s="43"/>
      <c r="FB109" s="42">
        <f t="shared" si="330"/>
        <v>4935000</v>
      </c>
      <c r="FC109" s="42">
        <f t="shared" si="331"/>
        <v>5182000</v>
      </c>
      <c r="FD109" s="41">
        <f t="shared" si="343"/>
        <v>89960.9375</v>
      </c>
      <c r="FE109" s="41">
        <f t="shared" si="344"/>
        <v>32914.583333333336</v>
      </c>
      <c r="FF109" s="42">
        <f t="shared" si="332"/>
        <v>1580130</v>
      </c>
      <c r="FG109" s="42">
        <f t="shared" si="333"/>
        <v>1760772</v>
      </c>
      <c r="FH109" s="42">
        <f>IF(DM109="","",IF(DU109&gt;0,DU109,FB109-SUM($FD$6:FD109)+SUM($DU$6:DU109)))</f>
        <v>3354869.7916666642</v>
      </c>
      <c r="FI109" s="42">
        <f>IF(DM109="","",FC109-SUM($FE$6:FE109)+SUM($DV$6:DV109)-SUM($DW$6:DW109))</f>
        <v>3421227.9166666623</v>
      </c>
      <c r="FJ109" s="152">
        <f t="shared" si="334"/>
        <v>0.66977342179829258</v>
      </c>
      <c r="FN109" s="8"/>
      <c r="FO109" s="8"/>
      <c r="FP109" s="8"/>
      <c r="FQ109" s="8"/>
      <c r="FR109" s="8"/>
      <c r="FS109" s="8"/>
      <c r="FT109" s="8"/>
      <c r="FU109" s="8"/>
      <c r="GC109" s="68">
        <f t="shared" si="298"/>
        <v>104</v>
      </c>
      <c r="GD109" s="78">
        <f t="shared" si="299"/>
        <v>0</v>
      </c>
      <c r="GE109" s="309">
        <f t="shared" si="300"/>
        <v>0.59300632502398332</v>
      </c>
      <c r="GF109" s="78">
        <f t="shared" si="301"/>
        <v>0</v>
      </c>
      <c r="GG109" s="310">
        <f t="shared" si="302"/>
        <v>0.37276327661307662</v>
      </c>
      <c r="GH109" s="78">
        <f t="shared" si="303"/>
        <v>0</v>
      </c>
      <c r="GI109" s="310">
        <f t="shared" si="304"/>
        <v>0.13333333333333333</v>
      </c>
      <c r="GJ109" s="311">
        <f t="shared" si="305"/>
        <v>0</v>
      </c>
      <c r="GK109" s="310">
        <f t="shared" si="306"/>
        <v>0.43333333333333707</v>
      </c>
      <c r="GL109" s="311">
        <f t="shared" si="307"/>
        <v>0</v>
      </c>
      <c r="GM109" s="310">
        <f t="shared" si="308"/>
        <v>0.65762797148364061</v>
      </c>
      <c r="HA109" s="13"/>
      <c r="HB109" s="24"/>
      <c r="HC109" s="13"/>
      <c r="HD109" s="13"/>
      <c r="HE109" s="13"/>
      <c r="HF109" s="13"/>
      <c r="HG109" s="13"/>
      <c r="HH109" s="13"/>
      <c r="HI109" s="13"/>
      <c r="HJ109" s="14"/>
      <c r="HK109" s="13"/>
      <c r="HL109" s="13"/>
    </row>
    <row r="110" spans="3:221" x14ac:dyDescent="0.2">
      <c r="C110" s="426">
        <f t="shared" si="243"/>
        <v>42552</v>
      </c>
      <c r="D110" s="155">
        <f t="shared" si="244"/>
        <v>42</v>
      </c>
      <c r="E110" s="155">
        <f t="shared" si="296"/>
        <v>12272520</v>
      </c>
      <c r="F110" s="155"/>
      <c r="G110" s="438">
        <f t="shared" si="297"/>
        <v>122596.73076923078</v>
      </c>
      <c r="I110" s="444">
        <f>IF(D110="","",'Mx FORECAST'!DX48)</f>
        <v>4530162.6923076902</v>
      </c>
      <c r="J110" s="155">
        <f>IF(D110="","",'Mx FORECAST'!DP48)</f>
        <v>0</v>
      </c>
      <c r="K110" s="155">
        <f>IF(D110="","",'Mx FORECAST'!DQ48)</f>
        <v>0</v>
      </c>
      <c r="M110" s="155">
        <f>IF(D110="","",'Mx FORECAST'!DR48)</f>
        <v>0</v>
      </c>
      <c r="O110" s="155">
        <f>IF(D110="","",'Mx FORECAST'!DS48)</f>
        <v>0</v>
      </c>
      <c r="Q110" s="155">
        <f>IF(D110="","",'Mx FORECAST'!DT48)</f>
        <v>0</v>
      </c>
      <c r="S110" s="155">
        <f>IF(D110="","",'Mx FORECAST'!DU48)</f>
        <v>0</v>
      </c>
      <c r="U110" s="155">
        <f>IF(D110="","",'Mx FORECAST'!DV48)</f>
        <v>0</v>
      </c>
      <c r="W110" s="540">
        <f>IF(D110="","",'Mx FORECAST'!DY48)</f>
        <v>7742357.3076923098</v>
      </c>
      <c r="X110" s="540"/>
      <c r="Y110" s="437">
        <f>IF(D110="","",'Mx FORECAST'!DZ48)</f>
        <v>0.63086939827291455</v>
      </c>
      <c r="AD110" s="155"/>
      <c r="AF110" s="155"/>
      <c r="AH110" s="155"/>
      <c r="AJ110" s="155"/>
      <c r="AK110" s="8"/>
      <c r="AL110" s="8"/>
      <c r="AM110" s="8"/>
      <c r="AN110" s="8"/>
      <c r="AO110" s="8"/>
      <c r="AP110" s="8"/>
      <c r="AQ110" s="7"/>
      <c r="AR110" s="7"/>
      <c r="AS110" s="7"/>
      <c r="AT110" s="7"/>
      <c r="AU110" s="7"/>
      <c r="AV110" s="7"/>
      <c r="AW110" s="7"/>
      <c r="AX110" s="7"/>
      <c r="AY110" s="7"/>
      <c r="AZ110" s="8"/>
      <c r="BZ110" s="9"/>
      <c r="CA110" s="9"/>
      <c r="CB110" s="9"/>
      <c r="DM110" s="44">
        <f t="shared" si="335"/>
        <v>104</v>
      </c>
      <c r="DN110" s="41">
        <f t="shared" si="309"/>
        <v>12666583.5</v>
      </c>
      <c r="DO110" s="41">
        <f t="shared" si="336"/>
        <v>163228.55021367522</v>
      </c>
      <c r="DP110" s="42">
        <f t="shared" si="310"/>
        <v>0</v>
      </c>
      <c r="DQ110" s="42">
        <f t="shared" si="311"/>
        <v>0</v>
      </c>
      <c r="DR110" s="42">
        <f t="shared" si="312"/>
        <v>0</v>
      </c>
      <c r="DS110" s="42">
        <f t="shared" si="313"/>
        <v>0</v>
      </c>
      <c r="DT110" s="42">
        <f t="shared" si="314"/>
        <v>0</v>
      </c>
      <c r="DU110" s="42">
        <f t="shared" si="315"/>
        <v>0</v>
      </c>
      <c r="DV110" s="42">
        <f t="shared" si="316"/>
        <v>0</v>
      </c>
      <c r="DW110" s="42">
        <f t="shared" si="317"/>
        <v>0</v>
      </c>
      <c r="DX110" s="42">
        <f t="shared" si="318"/>
        <v>5155219.3680555765</v>
      </c>
      <c r="DY110" s="42">
        <f>IF(DM110="",DY109,DN110-SUM($DO$6:DO110)+SUM($DP$6:DV110)-SUM($DW$6:DW110))</f>
        <v>7511364.1319444235</v>
      </c>
      <c r="DZ110" s="43">
        <f t="shared" si="337"/>
        <v>0.59300632502398332</v>
      </c>
      <c r="EA110" s="43"/>
      <c r="EB110" s="43" t="str">
        <f t="shared" si="295"/>
        <v>False</v>
      </c>
      <c r="EC110" s="41">
        <f t="shared" si="286"/>
        <v>264480</v>
      </c>
      <c r="ED110" s="41">
        <f t="shared" si="287"/>
        <v>686673.49999999988</v>
      </c>
      <c r="EE110" s="41">
        <f t="shared" si="319"/>
        <v>902280</v>
      </c>
      <c r="EF110" s="41">
        <f t="shared" si="338"/>
        <v>14693.333333333334</v>
      </c>
      <c r="EG110" s="42">
        <f t="shared" si="339"/>
        <v>9537.1319444444434</v>
      </c>
      <c r="EH110" s="42">
        <f t="shared" si="340"/>
        <v>6265.8333333333321</v>
      </c>
      <c r="EI110" s="42">
        <f t="shared" si="320"/>
        <v>205707</v>
      </c>
      <c r="EJ110" s="42">
        <f t="shared" si="321"/>
        <v>305188</v>
      </c>
      <c r="EK110" s="42">
        <f t="shared" si="322"/>
        <v>651647</v>
      </c>
      <c r="EL110" s="42">
        <f>IF(DM110="","",EC110-SUM($EF$6:EF110)+SUM($DP$6:DP110))</f>
        <v>58773.333333333489</v>
      </c>
      <c r="EM110" s="42">
        <f>IF(DM110="","",ED110-SUM($EG$6:EG110)+SUM($DQ$6:DQ110))</f>
        <v>381485.27777777601</v>
      </c>
      <c r="EN110" s="42">
        <f>IF(DM110="","",EE110-SUM($EH$6:EH110)+SUM($DR$6:DR110))</f>
        <v>250633.33333333326</v>
      </c>
      <c r="EO110" s="152">
        <f t="shared" si="323"/>
        <v>0.37276327661307662</v>
      </c>
      <c r="EP110" s="43"/>
      <c r="EQ110" s="42">
        <f t="shared" si="324"/>
        <v>448050</v>
      </c>
      <c r="ER110" s="42">
        <f t="shared" si="325"/>
        <v>248100</v>
      </c>
      <c r="ES110" s="42">
        <f t="shared" si="341"/>
        <v>3733.75</v>
      </c>
      <c r="ET110" s="42">
        <f t="shared" si="342"/>
        <v>6122.9807692307695</v>
      </c>
      <c r="EU110" s="42">
        <f t="shared" si="326"/>
        <v>388310</v>
      </c>
      <c r="EV110" s="42">
        <f t="shared" si="327"/>
        <v>140590</v>
      </c>
      <c r="EW110" s="42">
        <f>IF(DM110="","",IF(DS110&gt;0,DS110,EQ110-SUM($ES$6:ES110)+SUM($DS$6:DS110)))</f>
        <v>59740</v>
      </c>
      <c r="EX110" s="42">
        <f>IF(DM110="","",IF(DT110&gt;0,DT110,ER110-SUM($ET$6:ET110)+SUM($DT$6:DT110)))</f>
        <v>107510.00000000093</v>
      </c>
      <c r="EY110" s="43">
        <f t="shared" si="328"/>
        <v>0.43333333333333707</v>
      </c>
      <c r="EZ110" s="43">
        <f t="shared" si="329"/>
        <v>0.13333333333333333</v>
      </c>
      <c r="FA110" s="43"/>
      <c r="FB110" s="42">
        <f t="shared" si="330"/>
        <v>4935000</v>
      </c>
      <c r="FC110" s="42">
        <f t="shared" si="331"/>
        <v>5182000</v>
      </c>
      <c r="FD110" s="41">
        <f t="shared" si="343"/>
        <v>89960.9375</v>
      </c>
      <c r="FE110" s="41">
        <f t="shared" si="344"/>
        <v>32914.583333333336</v>
      </c>
      <c r="FF110" s="42">
        <f t="shared" si="332"/>
        <v>1670091</v>
      </c>
      <c r="FG110" s="42">
        <f t="shared" si="333"/>
        <v>1793687</v>
      </c>
      <c r="FH110" s="42">
        <f>IF(DM110="","",IF(DU110&gt;0,DU110,FB110-SUM($FD$6:FD110)+SUM($DU$6:DU110)))</f>
        <v>3264908.8541666642</v>
      </c>
      <c r="FI110" s="42">
        <f>IF(DM110="","",FC110-SUM($FE$6:FE110)+SUM($DV$6:DV110)-SUM($DW$6:DW110))</f>
        <v>3388313.3333333284</v>
      </c>
      <c r="FJ110" s="152">
        <f t="shared" si="334"/>
        <v>0.65762797148364061</v>
      </c>
      <c r="FN110" s="8"/>
      <c r="FO110" s="8"/>
      <c r="FP110" s="8"/>
      <c r="FQ110" s="8"/>
      <c r="FR110" s="8"/>
      <c r="FS110" s="8"/>
      <c r="FT110" s="8"/>
      <c r="FU110" s="8"/>
      <c r="GC110" s="68">
        <f t="shared" si="298"/>
        <v>105</v>
      </c>
      <c r="GD110" s="78">
        <f t="shared" si="299"/>
        <v>0</v>
      </c>
      <c r="GE110" s="309">
        <f t="shared" si="300"/>
        <v>0.58011977592306141</v>
      </c>
      <c r="GF110" s="78">
        <f t="shared" si="301"/>
        <v>0</v>
      </c>
      <c r="GG110" s="310">
        <f t="shared" si="302"/>
        <v>0.3563093285156072</v>
      </c>
      <c r="GH110" s="78">
        <f t="shared" si="303"/>
        <v>0</v>
      </c>
      <c r="GI110" s="310">
        <f t="shared" si="304"/>
        <v>0.125</v>
      </c>
      <c r="GJ110" s="311">
        <f t="shared" si="305"/>
        <v>0</v>
      </c>
      <c r="GK110" s="310">
        <f t="shared" si="306"/>
        <v>0.40865384615384998</v>
      </c>
      <c r="GL110" s="311">
        <f t="shared" si="307"/>
        <v>0</v>
      </c>
      <c r="GM110" s="310">
        <f t="shared" si="308"/>
        <v>0.64548252116898874</v>
      </c>
      <c r="HA110" s="13"/>
      <c r="HB110" s="24"/>
      <c r="HC110" s="13"/>
      <c r="HD110" s="13"/>
      <c r="HE110" s="13"/>
      <c r="HF110" s="13"/>
      <c r="HG110" s="13"/>
      <c r="HH110" s="13"/>
      <c r="HI110" s="13"/>
      <c r="HJ110" s="14"/>
      <c r="HK110" s="13"/>
      <c r="HL110" s="13"/>
    </row>
    <row r="111" spans="3:221" x14ac:dyDescent="0.2">
      <c r="C111" s="426">
        <f t="shared" si="243"/>
        <v>42583</v>
      </c>
      <c r="D111" s="155">
        <f t="shared" si="244"/>
        <v>43</v>
      </c>
      <c r="E111" s="155">
        <f t="shared" si="296"/>
        <v>12272520</v>
      </c>
      <c r="F111" s="155"/>
      <c r="G111" s="438">
        <f t="shared" si="297"/>
        <v>122596.73076923078</v>
      </c>
      <c r="I111" s="444">
        <f>IF(D111="","",'Mx FORECAST'!DX49)</f>
        <v>4652759.4230769211</v>
      </c>
      <c r="J111" s="155">
        <f>IF(D111="","",'Mx FORECAST'!DP49)</f>
        <v>0</v>
      </c>
      <c r="K111" s="155">
        <f>IF(D111="","",'Mx FORECAST'!DQ49)</f>
        <v>0</v>
      </c>
      <c r="M111" s="155">
        <f>IF(D111="","",'Mx FORECAST'!DR49)</f>
        <v>0</v>
      </c>
      <c r="O111" s="155">
        <f>IF(D111="","",'Mx FORECAST'!DS49)</f>
        <v>0</v>
      </c>
      <c r="Q111" s="155">
        <f>IF(D111="","",'Mx FORECAST'!DT49)</f>
        <v>0</v>
      </c>
      <c r="S111" s="155">
        <f>IF(D111="","",'Mx FORECAST'!DU49)</f>
        <v>0</v>
      </c>
      <c r="U111" s="155">
        <f>IF(D111="","",'Mx FORECAST'!DV49)</f>
        <v>0</v>
      </c>
      <c r="W111" s="540">
        <f>IF(D111="","",'Mx FORECAST'!DY49)</f>
        <v>7619760.5769230789</v>
      </c>
      <c r="X111" s="540"/>
      <c r="Y111" s="437">
        <f>IF(D111="","",'Mx FORECAST'!DZ49)</f>
        <v>0.620879866312956</v>
      </c>
      <c r="AD111" s="155"/>
      <c r="AF111" s="155"/>
      <c r="AH111" s="155"/>
      <c r="AJ111" s="155"/>
      <c r="AK111" s="8"/>
      <c r="AL111" s="8"/>
      <c r="AM111" s="8"/>
      <c r="AN111" s="8"/>
      <c r="AO111" s="8"/>
      <c r="AP111" s="8"/>
      <c r="AQ111" s="7"/>
      <c r="AR111" s="7"/>
      <c r="AS111" s="7"/>
      <c r="AT111" s="7"/>
      <c r="AU111" s="7"/>
      <c r="AV111" s="7"/>
      <c r="AW111" s="7"/>
      <c r="AX111" s="7"/>
      <c r="AY111" s="7"/>
      <c r="AZ111" s="8"/>
      <c r="BZ111" s="9"/>
      <c r="CA111" s="9"/>
      <c r="CB111" s="9"/>
      <c r="DM111" s="44">
        <f t="shared" si="335"/>
        <v>105</v>
      </c>
      <c r="DN111" s="41">
        <f t="shared" si="309"/>
        <v>12666583.5</v>
      </c>
      <c r="DO111" s="41">
        <f t="shared" si="336"/>
        <v>163228.55021367522</v>
      </c>
      <c r="DP111" s="42">
        <f t="shared" si="310"/>
        <v>0</v>
      </c>
      <c r="DQ111" s="42">
        <f t="shared" si="311"/>
        <v>0</v>
      </c>
      <c r="DR111" s="42">
        <f t="shared" si="312"/>
        <v>0</v>
      </c>
      <c r="DS111" s="42">
        <f t="shared" si="313"/>
        <v>0</v>
      </c>
      <c r="DT111" s="42">
        <f t="shared" si="314"/>
        <v>0</v>
      </c>
      <c r="DU111" s="42">
        <f t="shared" si="315"/>
        <v>0</v>
      </c>
      <c r="DV111" s="42">
        <f t="shared" si="316"/>
        <v>0</v>
      </c>
      <c r="DW111" s="42">
        <f t="shared" si="317"/>
        <v>0</v>
      </c>
      <c r="DX111" s="42">
        <f t="shared" si="318"/>
        <v>5318447.9182692524</v>
      </c>
      <c r="DY111" s="42">
        <f>IF(DM111="",DY110,DN111-SUM($DO$6:DO111)+SUM($DP$6:DV111)-SUM($DW$6:DW111))</f>
        <v>7348135.5817307476</v>
      </c>
      <c r="DZ111" s="43">
        <f t="shared" si="337"/>
        <v>0.58011977592306141</v>
      </c>
      <c r="EA111" s="43"/>
      <c r="EB111" s="43" t="str">
        <f t="shared" si="295"/>
        <v>False</v>
      </c>
      <c r="EC111" s="41">
        <f t="shared" si="286"/>
        <v>264480</v>
      </c>
      <c r="ED111" s="41">
        <f t="shared" si="287"/>
        <v>686673.49999999988</v>
      </c>
      <c r="EE111" s="41">
        <f t="shared" si="319"/>
        <v>902280</v>
      </c>
      <c r="EF111" s="41">
        <f t="shared" si="338"/>
        <v>14693.333333333334</v>
      </c>
      <c r="EG111" s="42">
        <f t="shared" si="339"/>
        <v>9537.1319444444434</v>
      </c>
      <c r="EH111" s="42">
        <f t="shared" si="340"/>
        <v>6265.8333333333321</v>
      </c>
      <c r="EI111" s="42">
        <f t="shared" si="320"/>
        <v>220400</v>
      </c>
      <c r="EJ111" s="42">
        <f t="shared" si="321"/>
        <v>314725</v>
      </c>
      <c r="EK111" s="42">
        <f t="shared" si="322"/>
        <v>657913</v>
      </c>
      <c r="EL111" s="42">
        <f>IF(DM111="","",EC111-SUM($EF$6:EF111)+SUM($DP$6:DP111))</f>
        <v>44080.000000000233</v>
      </c>
      <c r="EM111" s="42">
        <f>IF(DM111="","",ED111-SUM($EG$6:EG111)+SUM($DQ$6:DQ111))</f>
        <v>371948.14583333151</v>
      </c>
      <c r="EN111" s="42">
        <f>IF(DM111="","",EE111-SUM($EH$6:EH111)+SUM($DR$6:DR111))</f>
        <v>244367.49999999988</v>
      </c>
      <c r="EO111" s="152">
        <f t="shared" si="323"/>
        <v>0.3563093285156072</v>
      </c>
      <c r="EP111" s="43"/>
      <c r="EQ111" s="42">
        <f t="shared" si="324"/>
        <v>448050</v>
      </c>
      <c r="ER111" s="42">
        <f t="shared" si="325"/>
        <v>248100</v>
      </c>
      <c r="ES111" s="42">
        <f t="shared" si="341"/>
        <v>3733.75</v>
      </c>
      <c r="ET111" s="42">
        <f t="shared" si="342"/>
        <v>6122.9807692307695</v>
      </c>
      <c r="EU111" s="42">
        <f t="shared" si="326"/>
        <v>392044</v>
      </c>
      <c r="EV111" s="42">
        <f t="shared" si="327"/>
        <v>146713</v>
      </c>
      <c r="EW111" s="42">
        <f>IF(DM111="","",IF(DS111&gt;0,DS111,EQ111-SUM($ES$6:ES111)+SUM($DS$6:DS111)))</f>
        <v>56006.25</v>
      </c>
      <c r="EX111" s="42">
        <f>IF(DM111="","",IF(DT111&gt;0,DT111,ER111-SUM($ET$6:ET111)+SUM($DT$6:DT111)))</f>
        <v>101387.01923077018</v>
      </c>
      <c r="EY111" s="43">
        <f t="shared" si="328"/>
        <v>0.40865384615384998</v>
      </c>
      <c r="EZ111" s="43">
        <f t="shared" si="329"/>
        <v>0.125</v>
      </c>
      <c r="FA111" s="43"/>
      <c r="FB111" s="42">
        <f t="shared" si="330"/>
        <v>4935000</v>
      </c>
      <c r="FC111" s="42">
        <f t="shared" si="331"/>
        <v>5182000</v>
      </c>
      <c r="FD111" s="41">
        <f t="shared" si="343"/>
        <v>89960.9375</v>
      </c>
      <c r="FE111" s="41">
        <f t="shared" si="344"/>
        <v>32914.583333333336</v>
      </c>
      <c r="FF111" s="42">
        <f t="shared" si="332"/>
        <v>1760052</v>
      </c>
      <c r="FG111" s="42">
        <f t="shared" si="333"/>
        <v>1826601</v>
      </c>
      <c r="FH111" s="42">
        <f>IF(DM111="","",IF(DU111&gt;0,DU111,FB111-SUM($FD$6:FD111)+SUM($DU$6:DU111)))</f>
        <v>3174947.9166666642</v>
      </c>
      <c r="FI111" s="42">
        <f>IF(DM111="","",FC111-SUM($FE$6:FE111)+SUM($DV$6:DV111)-SUM($DW$6:DW111))</f>
        <v>3355398.7499999953</v>
      </c>
      <c r="FJ111" s="152">
        <f t="shared" si="334"/>
        <v>0.64548252116898874</v>
      </c>
      <c r="FN111" s="8"/>
      <c r="FO111" s="8"/>
      <c r="FP111" s="8"/>
      <c r="FQ111" s="8"/>
      <c r="FR111" s="8"/>
      <c r="FS111" s="8"/>
      <c r="FT111" s="8"/>
      <c r="FU111" s="8"/>
      <c r="GC111" s="68">
        <f t="shared" si="298"/>
        <v>106</v>
      </c>
      <c r="GD111" s="78">
        <f t="shared" si="299"/>
        <v>0</v>
      </c>
      <c r="GE111" s="309">
        <f t="shared" si="300"/>
        <v>0.56723322682213961</v>
      </c>
      <c r="GF111" s="78">
        <f t="shared" si="301"/>
        <v>0</v>
      </c>
      <c r="GG111" s="310">
        <f t="shared" si="302"/>
        <v>0.33985538041813773</v>
      </c>
      <c r="GH111" s="78">
        <f t="shared" si="303"/>
        <v>0</v>
      </c>
      <c r="GI111" s="310">
        <f t="shared" si="304"/>
        <v>0.11666666666666667</v>
      </c>
      <c r="GJ111" s="311">
        <f t="shared" si="305"/>
        <v>0</v>
      </c>
      <c r="GK111" s="310">
        <f t="shared" si="306"/>
        <v>0.38397435897436288</v>
      </c>
      <c r="GL111" s="311">
        <f t="shared" si="307"/>
        <v>0</v>
      </c>
      <c r="GM111" s="310">
        <f t="shared" si="308"/>
        <v>0.63333707085433688</v>
      </c>
      <c r="HA111" s="13"/>
      <c r="HB111" s="24"/>
      <c r="HC111" s="13"/>
      <c r="HD111" s="13"/>
      <c r="HE111" s="13"/>
      <c r="HF111" s="13"/>
      <c r="HG111" s="13"/>
      <c r="HH111" s="13"/>
      <c r="HI111" s="13"/>
      <c r="HJ111" s="14"/>
      <c r="HK111" s="13"/>
      <c r="HL111" s="13"/>
    </row>
    <row r="112" spans="3:221" x14ac:dyDescent="0.2">
      <c r="C112" s="426">
        <f t="shared" si="243"/>
        <v>42614</v>
      </c>
      <c r="D112" s="155">
        <f t="shared" si="244"/>
        <v>44</v>
      </c>
      <c r="E112" s="155">
        <f t="shared" si="296"/>
        <v>12272520</v>
      </c>
      <c r="F112" s="155"/>
      <c r="G112" s="438">
        <f t="shared" si="297"/>
        <v>122596.73076923078</v>
      </c>
      <c r="I112" s="444">
        <f>IF(D112="","",'Mx FORECAST'!DX50)</f>
        <v>4775356.1538461521</v>
      </c>
      <c r="J112" s="155">
        <f>IF(D112="","",'Mx FORECAST'!DP50)</f>
        <v>0</v>
      </c>
      <c r="K112" s="155">
        <f>IF(D112="","",'Mx FORECAST'!DQ50)</f>
        <v>0</v>
      </c>
      <c r="M112" s="155">
        <f>IF(D112="","",'Mx FORECAST'!DR50)</f>
        <v>0</v>
      </c>
      <c r="O112" s="155">
        <f>IF(D112="","",'Mx FORECAST'!DS50)</f>
        <v>0</v>
      </c>
      <c r="Q112" s="155">
        <f>IF(D112="","",'Mx FORECAST'!DT50)</f>
        <v>0</v>
      </c>
      <c r="S112" s="155">
        <f>IF(D112="","",'Mx FORECAST'!DU50)</f>
        <v>0</v>
      </c>
      <c r="U112" s="155">
        <f>IF(D112="","",'Mx FORECAST'!DV50)</f>
        <v>0</v>
      </c>
      <c r="W112" s="540">
        <f>IF(D112="","",'Mx FORECAST'!DY50)</f>
        <v>7497163.8461538479</v>
      </c>
      <c r="X112" s="540"/>
      <c r="Y112" s="437">
        <f>IF(D112="","",'Mx FORECAST'!DZ50)</f>
        <v>0.61089033435299744</v>
      </c>
      <c r="AD112" s="155"/>
      <c r="AF112" s="155"/>
      <c r="AH112" s="155"/>
      <c r="AJ112" s="155"/>
      <c r="AK112" s="8"/>
      <c r="AL112" s="8"/>
      <c r="AM112" s="8"/>
      <c r="AN112" s="8"/>
      <c r="AO112" s="8"/>
      <c r="AP112" s="8"/>
      <c r="AQ112" s="7"/>
      <c r="AR112" s="7"/>
      <c r="AS112" s="7"/>
      <c r="AT112" s="7"/>
      <c r="AU112" s="7"/>
      <c r="AV112" s="7"/>
      <c r="AW112" s="7"/>
      <c r="AX112" s="7"/>
      <c r="AY112" s="7"/>
      <c r="AZ112" s="8"/>
      <c r="BZ112" s="9"/>
      <c r="CA112" s="9"/>
      <c r="CB112" s="9"/>
      <c r="DM112" s="44">
        <f t="shared" si="335"/>
        <v>106</v>
      </c>
      <c r="DN112" s="41">
        <f t="shared" si="309"/>
        <v>12666583.5</v>
      </c>
      <c r="DO112" s="41">
        <f t="shared" si="336"/>
        <v>163228.55021367522</v>
      </c>
      <c r="DP112" s="42">
        <f t="shared" si="310"/>
        <v>0</v>
      </c>
      <c r="DQ112" s="42">
        <f t="shared" si="311"/>
        <v>0</v>
      </c>
      <c r="DR112" s="42">
        <f t="shared" si="312"/>
        <v>0</v>
      </c>
      <c r="DS112" s="42">
        <f t="shared" si="313"/>
        <v>0</v>
      </c>
      <c r="DT112" s="42">
        <f t="shared" si="314"/>
        <v>0</v>
      </c>
      <c r="DU112" s="42">
        <f t="shared" si="315"/>
        <v>0</v>
      </c>
      <c r="DV112" s="42">
        <f t="shared" si="316"/>
        <v>0</v>
      </c>
      <c r="DW112" s="42">
        <f t="shared" si="317"/>
        <v>0</v>
      </c>
      <c r="DX112" s="42">
        <f t="shared" si="318"/>
        <v>5481676.4684829284</v>
      </c>
      <c r="DY112" s="42">
        <f>IF(DM112="",DY111,DN112-SUM($DO$6:DO112)+SUM($DP$6:DV112)-SUM($DW$6:DW112))</f>
        <v>7184907.0315170716</v>
      </c>
      <c r="DZ112" s="43">
        <f t="shared" si="337"/>
        <v>0.56723322682213961</v>
      </c>
      <c r="EA112" s="43"/>
      <c r="EB112" s="43" t="str">
        <f t="shared" si="295"/>
        <v>False</v>
      </c>
      <c r="EC112" s="41">
        <f t="shared" si="286"/>
        <v>264480</v>
      </c>
      <c r="ED112" s="41">
        <f t="shared" si="287"/>
        <v>686673.49999999988</v>
      </c>
      <c r="EE112" s="41">
        <f t="shared" si="319"/>
        <v>902280</v>
      </c>
      <c r="EF112" s="41">
        <f t="shared" si="338"/>
        <v>14693.333333333334</v>
      </c>
      <c r="EG112" s="42">
        <f t="shared" si="339"/>
        <v>9537.1319444444434</v>
      </c>
      <c r="EH112" s="42">
        <f t="shared" si="340"/>
        <v>6265.8333333333321</v>
      </c>
      <c r="EI112" s="42">
        <f t="shared" si="320"/>
        <v>235093</v>
      </c>
      <c r="EJ112" s="42">
        <f t="shared" si="321"/>
        <v>324262</v>
      </c>
      <c r="EK112" s="42">
        <f t="shared" si="322"/>
        <v>664178</v>
      </c>
      <c r="EL112" s="42">
        <f>IF(DM112="","",EC112-SUM($EF$6:EF112)+SUM($DP$6:DP112))</f>
        <v>29386.666666666977</v>
      </c>
      <c r="EM112" s="42">
        <f>IF(DM112="","",ED112-SUM($EG$6:EG112)+SUM($DQ$6:DQ112))</f>
        <v>362411.01388888701</v>
      </c>
      <c r="EN112" s="42">
        <f>IF(DM112="","",EE112-SUM($EH$6:EH112)+SUM($DR$6:DR112))</f>
        <v>238101.66666666651</v>
      </c>
      <c r="EO112" s="152">
        <f t="shared" si="323"/>
        <v>0.33985538041813773</v>
      </c>
      <c r="EP112" s="43"/>
      <c r="EQ112" s="42">
        <f t="shared" si="324"/>
        <v>448050</v>
      </c>
      <c r="ER112" s="42">
        <f t="shared" si="325"/>
        <v>248100</v>
      </c>
      <c r="ES112" s="42">
        <f t="shared" si="341"/>
        <v>3733.75</v>
      </c>
      <c r="ET112" s="42">
        <f t="shared" si="342"/>
        <v>6122.9807692307695</v>
      </c>
      <c r="EU112" s="42">
        <f t="shared" si="326"/>
        <v>395778</v>
      </c>
      <c r="EV112" s="42">
        <f t="shared" si="327"/>
        <v>152836</v>
      </c>
      <c r="EW112" s="42">
        <f>IF(DM112="","",IF(DS112&gt;0,DS112,EQ112-SUM($ES$6:ES112)+SUM($DS$6:DS112)))</f>
        <v>52272.5</v>
      </c>
      <c r="EX112" s="42">
        <f>IF(DM112="","",IF(DT112&gt;0,DT112,ER112-SUM($ET$6:ET112)+SUM($DT$6:DT112)))</f>
        <v>95264.038461539429</v>
      </c>
      <c r="EY112" s="43">
        <f t="shared" si="328"/>
        <v>0.38397435897436288</v>
      </c>
      <c r="EZ112" s="43">
        <f t="shared" si="329"/>
        <v>0.11666666666666667</v>
      </c>
      <c r="FA112" s="43"/>
      <c r="FB112" s="42">
        <f t="shared" si="330"/>
        <v>4935000</v>
      </c>
      <c r="FC112" s="42">
        <f t="shared" si="331"/>
        <v>5182000</v>
      </c>
      <c r="FD112" s="41">
        <f t="shared" si="343"/>
        <v>89960.9375</v>
      </c>
      <c r="FE112" s="41">
        <f t="shared" si="344"/>
        <v>32914.583333333336</v>
      </c>
      <c r="FF112" s="42">
        <f t="shared" si="332"/>
        <v>1850013</v>
      </c>
      <c r="FG112" s="42">
        <f t="shared" si="333"/>
        <v>1859516</v>
      </c>
      <c r="FH112" s="42">
        <f>IF(DM112="","",IF(DU112&gt;0,DU112,FB112-SUM($FD$6:FD112)+SUM($DU$6:DU112)))</f>
        <v>3084986.9791666642</v>
      </c>
      <c r="FI112" s="42">
        <f>IF(DM112="","",FC112-SUM($FE$6:FE112)+SUM($DV$6:DV112)-SUM($DW$6:DW112))</f>
        <v>3322484.1666666623</v>
      </c>
      <c r="FJ112" s="152">
        <f t="shared" si="334"/>
        <v>0.63333707085433688</v>
      </c>
      <c r="FN112" s="8"/>
      <c r="FO112" s="8"/>
      <c r="FP112" s="8"/>
      <c r="FQ112" s="8"/>
      <c r="FR112" s="8"/>
      <c r="FS112" s="8"/>
      <c r="FT112" s="8"/>
      <c r="FU112" s="8"/>
      <c r="GC112" s="68">
        <f t="shared" si="298"/>
        <v>107</v>
      </c>
      <c r="GD112" s="78">
        <f t="shared" si="299"/>
        <v>0</v>
      </c>
      <c r="GE112" s="309">
        <f t="shared" si="300"/>
        <v>0.55434667772121782</v>
      </c>
      <c r="GF112" s="78">
        <f t="shared" si="301"/>
        <v>0</v>
      </c>
      <c r="GG112" s="310">
        <f t="shared" si="302"/>
        <v>0.32340143232066831</v>
      </c>
      <c r="GH112" s="78">
        <f t="shared" si="303"/>
        <v>0</v>
      </c>
      <c r="GI112" s="310">
        <f t="shared" si="304"/>
        <v>0.10833333333333334</v>
      </c>
      <c r="GJ112" s="311">
        <f t="shared" si="305"/>
        <v>0</v>
      </c>
      <c r="GK112" s="310">
        <f t="shared" si="306"/>
        <v>0.35929487179487579</v>
      </c>
      <c r="GL112" s="311">
        <f t="shared" si="307"/>
        <v>0</v>
      </c>
      <c r="GM112" s="310">
        <f t="shared" si="308"/>
        <v>0.62119162053968491</v>
      </c>
    </row>
    <row r="113" spans="3:223" x14ac:dyDescent="0.2">
      <c r="C113" s="426">
        <f t="shared" si="243"/>
        <v>42644</v>
      </c>
      <c r="D113" s="155">
        <f t="shared" si="244"/>
        <v>45</v>
      </c>
      <c r="E113" s="155">
        <f t="shared" si="296"/>
        <v>12272520</v>
      </c>
      <c r="F113" s="155"/>
      <c r="G113" s="438">
        <f t="shared" si="297"/>
        <v>122596.73076923078</v>
      </c>
      <c r="I113" s="444">
        <f>IF(D113="","",'Mx FORECAST'!DX51)</f>
        <v>4897952.8846153831</v>
      </c>
      <c r="J113" s="155">
        <f>IF(D113="","",'Mx FORECAST'!DP51)</f>
        <v>0</v>
      </c>
      <c r="K113" s="155">
        <f>IF(D113="","",'Mx FORECAST'!DQ51)</f>
        <v>0</v>
      </c>
      <c r="M113" s="155">
        <f>IF(D113="","",'Mx FORECAST'!DR51)</f>
        <v>0</v>
      </c>
      <c r="O113" s="155">
        <f>IF(D113="","",'Mx FORECAST'!DS51)</f>
        <v>0</v>
      </c>
      <c r="Q113" s="155">
        <f>IF(D113="","",'Mx FORECAST'!DT51)</f>
        <v>0</v>
      </c>
      <c r="S113" s="155">
        <f>IF(D113="","",'Mx FORECAST'!DU51)</f>
        <v>0</v>
      </c>
      <c r="U113" s="155">
        <f>IF(D113="","",'Mx FORECAST'!DV51)</f>
        <v>0</v>
      </c>
      <c r="W113" s="540">
        <f>IF(D113="","",'Mx FORECAST'!DY51)</f>
        <v>7374567.1153846169</v>
      </c>
      <c r="X113" s="540"/>
      <c r="Y113" s="437">
        <f>IF(D113="","",'Mx FORECAST'!DZ51)</f>
        <v>0.60090080239303878</v>
      </c>
      <c r="AD113" s="155"/>
      <c r="AF113" s="155"/>
      <c r="AH113" s="155"/>
      <c r="AJ113" s="155"/>
      <c r="AK113" s="8"/>
      <c r="AL113" s="8"/>
      <c r="AM113" s="8"/>
      <c r="AN113" s="8"/>
      <c r="AO113" s="8"/>
      <c r="AP113" s="8"/>
      <c r="AQ113" s="7"/>
      <c r="AR113" s="7"/>
      <c r="AS113" s="7"/>
      <c r="AT113" s="7"/>
      <c r="AU113" s="7"/>
      <c r="AV113" s="7"/>
      <c r="AW113" s="7"/>
      <c r="AX113" s="7"/>
      <c r="AY113" s="7"/>
      <c r="AZ113" s="8"/>
      <c r="BZ113" s="9"/>
      <c r="CA113" s="9"/>
      <c r="CB113" s="9"/>
      <c r="DM113" s="44">
        <f t="shared" si="335"/>
        <v>107</v>
      </c>
      <c r="DN113" s="41">
        <f t="shared" si="309"/>
        <v>12666583.5</v>
      </c>
      <c r="DO113" s="41">
        <f t="shared" si="336"/>
        <v>163228.55021367522</v>
      </c>
      <c r="DP113" s="42">
        <f t="shared" si="310"/>
        <v>0</v>
      </c>
      <c r="DQ113" s="42">
        <f t="shared" si="311"/>
        <v>0</v>
      </c>
      <c r="DR113" s="42">
        <f t="shared" si="312"/>
        <v>0</v>
      </c>
      <c r="DS113" s="42">
        <f t="shared" si="313"/>
        <v>0</v>
      </c>
      <c r="DT113" s="42">
        <f t="shared" si="314"/>
        <v>0</v>
      </c>
      <c r="DU113" s="42">
        <f t="shared" si="315"/>
        <v>0</v>
      </c>
      <c r="DV113" s="42">
        <f t="shared" si="316"/>
        <v>0</v>
      </c>
      <c r="DW113" s="42">
        <f t="shared" si="317"/>
        <v>0</v>
      </c>
      <c r="DX113" s="42">
        <f t="shared" si="318"/>
        <v>5644905.0186966043</v>
      </c>
      <c r="DY113" s="42">
        <f>IF(DM113="",DY112,DN113-SUM($DO$6:DO113)+SUM($DP$6:DV113)-SUM($DW$6:DW113))</f>
        <v>7021678.4813033957</v>
      </c>
      <c r="DZ113" s="43">
        <f t="shared" si="337"/>
        <v>0.55434667772121782</v>
      </c>
      <c r="EA113" s="43"/>
      <c r="EB113" s="43" t="str">
        <f t="shared" si="295"/>
        <v>False</v>
      </c>
      <c r="EC113" s="41">
        <f t="shared" si="286"/>
        <v>264480</v>
      </c>
      <c r="ED113" s="41">
        <f t="shared" si="287"/>
        <v>686673.49999999988</v>
      </c>
      <c r="EE113" s="41">
        <f t="shared" si="319"/>
        <v>902280</v>
      </c>
      <c r="EF113" s="41">
        <f t="shared" si="338"/>
        <v>14693.333333333334</v>
      </c>
      <c r="EG113" s="42">
        <f t="shared" si="339"/>
        <v>9537.1319444444434</v>
      </c>
      <c r="EH113" s="42">
        <f t="shared" si="340"/>
        <v>6265.8333333333321</v>
      </c>
      <c r="EI113" s="42">
        <f t="shared" si="320"/>
        <v>249787</v>
      </c>
      <c r="EJ113" s="42">
        <f t="shared" si="321"/>
        <v>333800</v>
      </c>
      <c r="EK113" s="42">
        <f t="shared" si="322"/>
        <v>670444</v>
      </c>
      <c r="EL113" s="42">
        <f>IF(DM113="","",EC113-SUM($EF$6:EF113)+SUM($DP$6:DP113))</f>
        <v>14693.333333333721</v>
      </c>
      <c r="EM113" s="42">
        <f>IF(DM113="","",ED113-SUM($EG$6:EG113)+SUM($DQ$6:DQ113))</f>
        <v>352873.88194444252</v>
      </c>
      <c r="EN113" s="42">
        <f>IF(DM113="","",EE113-SUM($EH$6:EH113)+SUM($DR$6:DR113))</f>
        <v>231835.83333333314</v>
      </c>
      <c r="EO113" s="152">
        <f t="shared" si="323"/>
        <v>0.32340143232066831</v>
      </c>
      <c r="EP113" s="43"/>
      <c r="EQ113" s="42">
        <f t="shared" si="324"/>
        <v>448050</v>
      </c>
      <c r="ER113" s="42">
        <f t="shared" si="325"/>
        <v>248100</v>
      </c>
      <c r="ES113" s="42">
        <f t="shared" si="341"/>
        <v>3733.75</v>
      </c>
      <c r="ET113" s="42">
        <f t="shared" si="342"/>
        <v>6122.9807692307695</v>
      </c>
      <c r="EU113" s="42">
        <f t="shared" si="326"/>
        <v>399511</v>
      </c>
      <c r="EV113" s="42">
        <f t="shared" si="327"/>
        <v>158959</v>
      </c>
      <c r="EW113" s="42">
        <f>IF(DM113="","",IF(DS113&gt;0,DS113,EQ113-SUM($ES$6:ES113)+SUM($DS$6:DS113)))</f>
        <v>48538.75</v>
      </c>
      <c r="EX113" s="42">
        <f>IF(DM113="","",IF(DT113&gt;0,DT113,ER113-SUM($ET$6:ET113)+SUM($DT$6:DT113)))</f>
        <v>89141.057692308677</v>
      </c>
      <c r="EY113" s="43">
        <f t="shared" si="328"/>
        <v>0.35929487179487579</v>
      </c>
      <c r="EZ113" s="43">
        <f t="shared" si="329"/>
        <v>0.10833333333333334</v>
      </c>
      <c r="FA113" s="43"/>
      <c r="FB113" s="42">
        <f t="shared" si="330"/>
        <v>4935000</v>
      </c>
      <c r="FC113" s="42">
        <f t="shared" si="331"/>
        <v>5182000</v>
      </c>
      <c r="FD113" s="41">
        <f t="shared" si="343"/>
        <v>89960.9375</v>
      </c>
      <c r="FE113" s="41">
        <f t="shared" si="344"/>
        <v>32914.583333333336</v>
      </c>
      <c r="FF113" s="42">
        <f t="shared" si="332"/>
        <v>1939974</v>
      </c>
      <c r="FG113" s="42">
        <f t="shared" si="333"/>
        <v>1892430</v>
      </c>
      <c r="FH113" s="42">
        <f>IF(DM113="","",IF(DU113&gt;0,DU113,FB113-SUM($FD$6:FD113)+SUM($DU$6:DU113)))</f>
        <v>2995026.0416666642</v>
      </c>
      <c r="FI113" s="42">
        <f>IF(DM113="","",FC113-SUM($FE$6:FE113)+SUM($DV$6:DV113)-SUM($DW$6:DW113))</f>
        <v>3289569.5833333284</v>
      </c>
      <c r="FJ113" s="152">
        <f t="shared" si="334"/>
        <v>0.62119162053968491</v>
      </c>
      <c r="FN113" s="8"/>
      <c r="FO113" s="8"/>
      <c r="FP113" s="8"/>
      <c r="FQ113" s="8"/>
      <c r="FR113" s="8"/>
      <c r="FS113" s="8"/>
      <c r="FT113" s="8"/>
      <c r="FU113" s="8"/>
      <c r="GC113" s="68">
        <f t="shared" si="298"/>
        <v>108</v>
      </c>
      <c r="GD113" s="78">
        <f t="shared" si="299"/>
        <v>264480</v>
      </c>
      <c r="GE113" s="309">
        <f t="shared" si="300"/>
        <v>0.56234026571488038</v>
      </c>
      <c r="GF113" s="78">
        <f t="shared" si="301"/>
        <v>264480</v>
      </c>
      <c r="GG113" s="310">
        <f t="shared" si="302"/>
        <v>0.44964480786604877</v>
      </c>
      <c r="GH113" s="78">
        <f t="shared" si="303"/>
        <v>0</v>
      </c>
      <c r="GI113" s="310">
        <f t="shared" si="304"/>
        <v>0.1</v>
      </c>
      <c r="GJ113" s="311">
        <f t="shared" si="305"/>
        <v>0</v>
      </c>
      <c r="GK113" s="310">
        <f t="shared" si="306"/>
        <v>0.33461538461538864</v>
      </c>
      <c r="GL113" s="311">
        <f t="shared" si="307"/>
        <v>0</v>
      </c>
      <c r="GM113" s="310">
        <f t="shared" si="308"/>
        <v>0.60904617022503293</v>
      </c>
    </row>
    <row r="114" spans="3:223" x14ac:dyDescent="0.2">
      <c r="C114" s="426">
        <f t="shared" si="243"/>
        <v>42675</v>
      </c>
      <c r="D114" s="155">
        <f t="shared" si="244"/>
        <v>46</v>
      </c>
      <c r="E114" s="155">
        <f t="shared" si="296"/>
        <v>12272520</v>
      </c>
      <c r="F114" s="155"/>
      <c r="G114" s="438">
        <f t="shared" si="297"/>
        <v>122596.73076923078</v>
      </c>
      <c r="I114" s="444">
        <f>IF(D114="","",'Mx FORECAST'!DX52)</f>
        <v>5020549.6153846141</v>
      </c>
      <c r="J114" s="155">
        <f>IF(D114="","",'Mx FORECAST'!DP52)</f>
        <v>0</v>
      </c>
      <c r="K114" s="155">
        <f>IF(D114="","",'Mx FORECAST'!DQ52)</f>
        <v>0</v>
      </c>
      <c r="M114" s="155">
        <f>IF(D114="","",'Mx FORECAST'!DR52)</f>
        <v>0</v>
      </c>
      <c r="O114" s="155">
        <f>IF(D114="","",'Mx FORECAST'!DS52)</f>
        <v>0</v>
      </c>
      <c r="Q114" s="155">
        <f>IF(D114="","",'Mx FORECAST'!DT52)</f>
        <v>0</v>
      </c>
      <c r="S114" s="155">
        <f>IF(D114="","",'Mx FORECAST'!DU52)</f>
        <v>0</v>
      </c>
      <c r="U114" s="155">
        <f>IF(D114="","",'Mx FORECAST'!DV52)</f>
        <v>0</v>
      </c>
      <c r="W114" s="540">
        <f>IF(D114="","",'Mx FORECAST'!DY52)</f>
        <v>7251970.3846153859</v>
      </c>
      <c r="X114" s="540"/>
      <c r="Y114" s="437">
        <f>IF(D114="","",'Mx FORECAST'!DZ52)</f>
        <v>0.59091127043308023</v>
      </c>
      <c r="AD114" s="155"/>
      <c r="AF114" s="155"/>
      <c r="AH114" s="155"/>
      <c r="AJ114" s="155"/>
      <c r="AK114" s="8"/>
      <c r="AL114" s="8"/>
      <c r="AM114" s="8"/>
      <c r="AN114" s="8"/>
      <c r="AO114" s="8"/>
      <c r="AP114" s="8"/>
      <c r="AQ114" s="7"/>
      <c r="AR114" s="7"/>
      <c r="AS114" s="7"/>
      <c r="AT114" s="7"/>
      <c r="AU114" s="7"/>
      <c r="AV114" s="7"/>
      <c r="AW114" s="7"/>
      <c r="AX114" s="7"/>
      <c r="AY114" s="7"/>
      <c r="AZ114" s="8"/>
      <c r="BZ114" s="9"/>
      <c r="CA114" s="9"/>
      <c r="CB114" s="9"/>
      <c r="DM114" s="44">
        <f t="shared" si="335"/>
        <v>108</v>
      </c>
      <c r="DN114" s="41">
        <f t="shared" si="309"/>
        <v>12666583.5</v>
      </c>
      <c r="DO114" s="41">
        <f t="shared" si="336"/>
        <v>163228.55021367522</v>
      </c>
      <c r="DP114" s="42">
        <f t="shared" si="310"/>
        <v>264480</v>
      </c>
      <c r="DQ114" s="42">
        <f t="shared" si="311"/>
        <v>0</v>
      </c>
      <c r="DR114" s="42">
        <f t="shared" si="312"/>
        <v>0</v>
      </c>
      <c r="DS114" s="42">
        <f t="shared" si="313"/>
        <v>0</v>
      </c>
      <c r="DT114" s="42">
        <f t="shared" si="314"/>
        <v>0</v>
      </c>
      <c r="DU114" s="42">
        <f t="shared" si="315"/>
        <v>0</v>
      </c>
      <c r="DV114" s="42">
        <f t="shared" si="316"/>
        <v>0</v>
      </c>
      <c r="DW114" s="42">
        <f t="shared" si="317"/>
        <v>0</v>
      </c>
      <c r="DX114" s="42">
        <f t="shared" si="318"/>
        <v>5543653.5689102802</v>
      </c>
      <c r="DY114" s="42">
        <f>IF(DM114="",DY113,DN114-SUM($DO$6:DO114)+SUM($DP$6:DV114)-SUM($DW$6:DW114))</f>
        <v>7122929.9310897198</v>
      </c>
      <c r="DZ114" s="43">
        <f t="shared" si="337"/>
        <v>0.56234026571488038</v>
      </c>
      <c r="EA114" s="43"/>
      <c r="EB114" s="43" t="str">
        <f t="shared" si="295"/>
        <v>False</v>
      </c>
      <c r="EC114" s="41">
        <f t="shared" si="286"/>
        <v>264480</v>
      </c>
      <c r="ED114" s="41">
        <f t="shared" si="287"/>
        <v>686673.49999999988</v>
      </c>
      <c r="EE114" s="41">
        <f t="shared" si="319"/>
        <v>902280</v>
      </c>
      <c r="EF114" s="41">
        <f t="shared" si="338"/>
        <v>14693.333333333334</v>
      </c>
      <c r="EG114" s="42">
        <f t="shared" si="339"/>
        <v>9537.1319444444434</v>
      </c>
      <c r="EH114" s="42">
        <f t="shared" si="340"/>
        <v>6265.8333333333321</v>
      </c>
      <c r="EI114" s="42">
        <f t="shared" si="320"/>
        <v>0</v>
      </c>
      <c r="EJ114" s="42">
        <f t="shared" si="321"/>
        <v>343337</v>
      </c>
      <c r="EK114" s="42">
        <f t="shared" si="322"/>
        <v>676710</v>
      </c>
      <c r="EL114" s="42">
        <f>IF(DM114="","",EC114-SUM($EF$6:EF114)+SUM($DP$6:DP114))</f>
        <v>264480.00000000047</v>
      </c>
      <c r="EM114" s="42">
        <f>IF(DM114="","",ED114-SUM($EG$6:EG114)+SUM($DQ$6:DQ114))</f>
        <v>343336.74999999802</v>
      </c>
      <c r="EN114" s="42">
        <f>IF(DM114="","",EE114-SUM($EH$6:EH114)+SUM($DR$6:DR114))</f>
        <v>225569.99999999977</v>
      </c>
      <c r="EO114" s="152">
        <f t="shared" si="323"/>
        <v>0.44964480786604877</v>
      </c>
      <c r="EP114" s="43"/>
      <c r="EQ114" s="42">
        <f t="shared" si="324"/>
        <v>448050</v>
      </c>
      <c r="ER114" s="42">
        <f t="shared" si="325"/>
        <v>248100</v>
      </c>
      <c r="ES114" s="42">
        <f t="shared" si="341"/>
        <v>3733.75</v>
      </c>
      <c r="ET114" s="42">
        <f t="shared" si="342"/>
        <v>6122.9807692307695</v>
      </c>
      <c r="EU114" s="42">
        <f t="shared" si="326"/>
        <v>403245</v>
      </c>
      <c r="EV114" s="42">
        <f t="shared" si="327"/>
        <v>165082</v>
      </c>
      <c r="EW114" s="42">
        <f>IF(DM114="","",IF(DS114&gt;0,DS114,EQ114-SUM($ES$6:ES114)+SUM($DS$6:DS114)))</f>
        <v>44805</v>
      </c>
      <c r="EX114" s="42">
        <f>IF(DM114="","",IF(DT114&gt;0,DT114,ER114-SUM($ET$6:ET114)+SUM($DT$6:DT114)))</f>
        <v>83018.076923077926</v>
      </c>
      <c r="EY114" s="43">
        <f t="shared" si="328"/>
        <v>0.33461538461538864</v>
      </c>
      <c r="EZ114" s="43">
        <f t="shared" si="329"/>
        <v>0.1</v>
      </c>
      <c r="FA114" s="43"/>
      <c r="FB114" s="42">
        <f t="shared" si="330"/>
        <v>4935000</v>
      </c>
      <c r="FC114" s="42">
        <f t="shared" si="331"/>
        <v>5182000</v>
      </c>
      <c r="FD114" s="41">
        <f t="shared" si="343"/>
        <v>89960.9375</v>
      </c>
      <c r="FE114" s="41">
        <f t="shared" si="344"/>
        <v>32914.583333333336</v>
      </c>
      <c r="FF114" s="42">
        <f t="shared" si="332"/>
        <v>2029935</v>
      </c>
      <c r="FG114" s="42">
        <f t="shared" si="333"/>
        <v>1925345</v>
      </c>
      <c r="FH114" s="42">
        <f>IF(DM114="","",IF(DU114&gt;0,DU114,FB114-SUM($FD$6:FD114)+SUM($DU$6:DU114)))</f>
        <v>2905065.1041666642</v>
      </c>
      <c r="FI114" s="42">
        <f>IF(DM114="","",FC114-SUM($FE$6:FE114)+SUM($DV$6:DV114)-SUM($DW$6:DW114))</f>
        <v>3256654.9999999944</v>
      </c>
      <c r="FJ114" s="152">
        <f t="shared" si="334"/>
        <v>0.60904617022503293</v>
      </c>
      <c r="FN114" s="8"/>
      <c r="FO114" s="8"/>
      <c r="FP114" s="8"/>
      <c r="FQ114" s="8"/>
      <c r="FR114" s="8"/>
      <c r="FS114" s="8"/>
      <c r="FT114" s="8"/>
      <c r="FU114" s="8"/>
      <c r="GC114" s="68">
        <f t="shared" si="298"/>
        <v>109</v>
      </c>
      <c r="GD114" s="78">
        <f t="shared" si="299"/>
        <v>0</v>
      </c>
      <c r="GE114" s="309">
        <f t="shared" si="300"/>
        <v>0.54813964470268484</v>
      </c>
      <c r="GF114" s="78">
        <f t="shared" si="301"/>
        <v>0</v>
      </c>
      <c r="GG114" s="310">
        <f t="shared" si="302"/>
        <v>0.4213369051208451</v>
      </c>
      <c r="GH114" s="78">
        <f t="shared" si="303"/>
        <v>0</v>
      </c>
      <c r="GI114" s="310">
        <f t="shared" si="304"/>
        <v>9.166666666666666E-2</v>
      </c>
      <c r="GJ114" s="311">
        <f t="shared" si="305"/>
        <v>0</v>
      </c>
      <c r="GK114" s="310">
        <f t="shared" si="306"/>
        <v>0.30993589743590155</v>
      </c>
      <c r="GL114" s="311">
        <f t="shared" si="307"/>
        <v>0</v>
      </c>
      <c r="GM114" s="310">
        <f t="shared" si="308"/>
        <v>0.59690071991038107</v>
      </c>
    </row>
    <row r="115" spans="3:223" x14ac:dyDescent="0.2">
      <c r="C115" s="426">
        <f t="shared" si="243"/>
        <v>42705</v>
      </c>
      <c r="D115" s="155">
        <f t="shared" si="244"/>
        <v>47</v>
      </c>
      <c r="E115" s="155">
        <f t="shared" si="296"/>
        <v>12272520</v>
      </c>
      <c r="F115" s="155"/>
      <c r="G115" s="438">
        <f t="shared" si="297"/>
        <v>122596.73076923078</v>
      </c>
      <c r="I115" s="444">
        <f>IF(D115="","",'Mx FORECAST'!DX53)</f>
        <v>5143146.3461538451</v>
      </c>
      <c r="J115" s="155">
        <f>IF(D115="","",'Mx FORECAST'!DP53)</f>
        <v>0</v>
      </c>
      <c r="K115" s="155">
        <f>IF(D115="","",'Mx FORECAST'!DQ53)</f>
        <v>0</v>
      </c>
      <c r="M115" s="155">
        <f>IF(D115="","",'Mx FORECAST'!DR53)</f>
        <v>0</v>
      </c>
      <c r="O115" s="155">
        <f>IF(D115="","",'Mx FORECAST'!DS53)</f>
        <v>0</v>
      </c>
      <c r="Q115" s="155">
        <f>IF(D115="","",'Mx FORECAST'!DT53)</f>
        <v>0</v>
      </c>
      <c r="S115" s="155">
        <f>IF(D115="","",'Mx FORECAST'!DU53)</f>
        <v>0</v>
      </c>
      <c r="U115" s="155">
        <f>IF(D115="","",'Mx FORECAST'!DV53)</f>
        <v>0</v>
      </c>
      <c r="W115" s="540">
        <f>IF(D115="","",'Mx FORECAST'!DY53)</f>
        <v>7129373.6538461549</v>
      </c>
      <c r="X115" s="540"/>
      <c r="Y115" s="437">
        <f>IF(D115="","",'Mx FORECAST'!DZ53)</f>
        <v>0.58092173847312167</v>
      </c>
      <c r="AD115" s="155"/>
      <c r="AF115" s="155"/>
      <c r="AH115" s="155"/>
      <c r="AJ115" s="155"/>
      <c r="AK115" s="8"/>
      <c r="AL115" s="8"/>
      <c r="AM115" s="8"/>
      <c r="AN115" s="8"/>
      <c r="AO115" s="8"/>
      <c r="AP115" s="8"/>
      <c r="AQ115" s="7"/>
      <c r="AR115" s="7"/>
      <c r="AS115" s="7"/>
      <c r="AT115" s="7"/>
      <c r="AU115" s="7"/>
      <c r="AV115" s="7"/>
      <c r="AW115" s="7"/>
      <c r="AX115" s="7"/>
      <c r="AY115" s="7"/>
      <c r="AZ115" s="8"/>
      <c r="BZ115" s="9"/>
      <c r="CA115" s="9"/>
      <c r="CB115" s="9"/>
      <c r="DM115" s="44">
        <f t="shared" si="335"/>
        <v>109</v>
      </c>
      <c r="DN115" s="41">
        <f t="shared" si="309"/>
        <v>12624583.5</v>
      </c>
      <c r="DO115" s="41">
        <f t="shared" si="336"/>
        <v>160895.21688034188</v>
      </c>
      <c r="DP115" s="42">
        <f t="shared" si="310"/>
        <v>0</v>
      </c>
      <c r="DQ115" s="42">
        <f t="shared" si="311"/>
        <v>0</v>
      </c>
      <c r="DR115" s="42">
        <f t="shared" si="312"/>
        <v>0</v>
      </c>
      <c r="DS115" s="42">
        <f t="shared" si="313"/>
        <v>0</v>
      </c>
      <c r="DT115" s="42">
        <f t="shared" si="314"/>
        <v>0</v>
      </c>
      <c r="DU115" s="42">
        <f t="shared" si="315"/>
        <v>0</v>
      </c>
      <c r="DV115" s="42">
        <f t="shared" si="316"/>
        <v>0</v>
      </c>
      <c r="DW115" s="42">
        <f t="shared" si="317"/>
        <v>0</v>
      </c>
      <c r="DX115" s="42">
        <f t="shared" si="318"/>
        <v>5704548.7857906222</v>
      </c>
      <c r="DY115" s="42">
        <f>IF(DM115="",DY114,DN115-SUM($DO$6:DO115)+SUM($DP$6:DV115)-SUM($DW$6:DW115))</f>
        <v>6920034.7142093778</v>
      </c>
      <c r="DZ115" s="43">
        <f t="shared" si="337"/>
        <v>0.54813964470268484</v>
      </c>
      <c r="EA115" s="43"/>
      <c r="EB115" s="43" t="str">
        <f t="shared" si="295"/>
        <v>True</v>
      </c>
      <c r="EC115" s="41">
        <f t="shared" si="286"/>
        <v>222480</v>
      </c>
      <c r="ED115" s="41">
        <f t="shared" si="287"/>
        <v>686673.49999999988</v>
      </c>
      <c r="EE115" s="41">
        <f t="shared" si="319"/>
        <v>902280</v>
      </c>
      <c r="EF115" s="41">
        <f t="shared" si="338"/>
        <v>12360</v>
      </c>
      <c r="EG115" s="42">
        <f t="shared" si="339"/>
        <v>9537.1319444444434</v>
      </c>
      <c r="EH115" s="42">
        <f t="shared" si="340"/>
        <v>6265.8333333333321</v>
      </c>
      <c r="EI115" s="42">
        <f t="shared" si="320"/>
        <v>12360</v>
      </c>
      <c r="EJ115" s="42">
        <f t="shared" si="321"/>
        <v>352874</v>
      </c>
      <c r="EK115" s="42">
        <f t="shared" si="322"/>
        <v>682976</v>
      </c>
      <c r="EL115" s="42">
        <f>IF(DM115="","",EC115-SUM($EF$6:EF115)+SUM($DP$6:DP115))</f>
        <v>210120.00000000047</v>
      </c>
      <c r="EM115" s="42">
        <f>IF(DM115="","",ED115-SUM($EG$6:EG115)+SUM($DQ$6:DQ115))</f>
        <v>333799.61805555352</v>
      </c>
      <c r="EN115" s="42">
        <f>IF(DM115="","",EE115-SUM($EH$6:EH115)+SUM($DR$6:DR115))</f>
        <v>219304.1666666664</v>
      </c>
      <c r="EO115" s="152">
        <f t="shared" si="323"/>
        <v>0.4213369051208451</v>
      </c>
      <c r="EP115" s="43"/>
      <c r="EQ115" s="42">
        <f t="shared" si="324"/>
        <v>448050</v>
      </c>
      <c r="ER115" s="42">
        <f t="shared" si="325"/>
        <v>248100</v>
      </c>
      <c r="ES115" s="42">
        <f t="shared" si="341"/>
        <v>3733.75</v>
      </c>
      <c r="ET115" s="42">
        <f t="shared" si="342"/>
        <v>6122.9807692307695</v>
      </c>
      <c r="EU115" s="42">
        <f t="shared" si="326"/>
        <v>406979</v>
      </c>
      <c r="EV115" s="42">
        <f t="shared" si="327"/>
        <v>171205</v>
      </c>
      <c r="EW115" s="42">
        <f>IF(DM115="","",IF(DS115&gt;0,DS115,EQ115-SUM($ES$6:ES115)+SUM($DS$6:DS115)))</f>
        <v>41071.25</v>
      </c>
      <c r="EX115" s="42">
        <f>IF(DM115="","",IF(DT115&gt;0,DT115,ER115-SUM($ET$6:ET115)+SUM($DT$6:DT115)))</f>
        <v>76895.096153847175</v>
      </c>
      <c r="EY115" s="43">
        <f t="shared" si="328"/>
        <v>0.30993589743590155</v>
      </c>
      <c r="EZ115" s="43">
        <f t="shared" si="329"/>
        <v>9.166666666666666E-2</v>
      </c>
      <c r="FA115" s="43"/>
      <c r="FB115" s="42">
        <f t="shared" si="330"/>
        <v>4935000</v>
      </c>
      <c r="FC115" s="42">
        <f t="shared" si="331"/>
        <v>5182000</v>
      </c>
      <c r="FD115" s="41">
        <f t="shared" si="343"/>
        <v>89960.9375</v>
      </c>
      <c r="FE115" s="41">
        <f t="shared" si="344"/>
        <v>32914.583333333336</v>
      </c>
      <c r="FF115" s="42">
        <f t="shared" si="332"/>
        <v>2119896</v>
      </c>
      <c r="FG115" s="42">
        <f t="shared" si="333"/>
        <v>1958260</v>
      </c>
      <c r="FH115" s="42">
        <f>IF(DM115="","",IF(DU115&gt;0,DU115,FB115-SUM($FD$6:FD115)+SUM($DU$6:DU115)))</f>
        <v>2815104.1666666642</v>
      </c>
      <c r="FI115" s="42">
        <f>IF(DM115="","",FC115-SUM($FE$6:FE115)+SUM($DV$6:DV115)-SUM($DW$6:DW115))</f>
        <v>3223740.4166666614</v>
      </c>
      <c r="FJ115" s="152">
        <f t="shared" si="334"/>
        <v>0.59690071991038107</v>
      </c>
      <c r="FN115" s="8"/>
      <c r="FO115" s="8"/>
      <c r="FP115" s="8"/>
      <c r="FQ115" s="8"/>
      <c r="FR115" s="8"/>
      <c r="FS115" s="8"/>
      <c r="FT115" s="8"/>
      <c r="FU115" s="8"/>
      <c r="GC115" s="68">
        <f t="shared" si="298"/>
        <v>110</v>
      </c>
      <c r="GD115" s="78">
        <f t="shared" si="299"/>
        <v>0</v>
      </c>
      <c r="GE115" s="309">
        <f t="shared" si="300"/>
        <v>0.53539504866271714</v>
      </c>
      <c r="GF115" s="78">
        <f t="shared" si="301"/>
        <v>0</v>
      </c>
      <c r="GG115" s="310">
        <f t="shared" si="302"/>
        <v>0.40578956911442926</v>
      </c>
      <c r="GH115" s="78">
        <f t="shared" si="303"/>
        <v>0</v>
      </c>
      <c r="GI115" s="310">
        <f t="shared" si="304"/>
        <v>8.3333333333333329E-2</v>
      </c>
      <c r="GJ115" s="311">
        <f t="shared" si="305"/>
        <v>0</v>
      </c>
      <c r="GK115" s="310">
        <f t="shared" si="306"/>
        <v>0.28525641025641446</v>
      </c>
      <c r="GL115" s="311">
        <f t="shared" si="307"/>
        <v>0</v>
      </c>
      <c r="GM115" s="310">
        <f t="shared" si="308"/>
        <v>0.58475526959572921</v>
      </c>
    </row>
    <row r="116" spans="3:223" x14ac:dyDescent="0.2">
      <c r="C116" s="426">
        <f t="shared" si="243"/>
        <v>42736</v>
      </c>
      <c r="D116" s="155">
        <f t="shared" si="244"/>
        <v>48</v>
      </c>
      <c r="E116" s="155">
        <f t="shared" si="296"/>
        <v>12272520</v>
      </c>
      <c r="F116" s="155"/>
      <c r="G116" s="438">
        <f t="shared" si="297"/>
        <v>122596.73076923078</v>
      </c>
      <c r="I116" s="444">
        <f>IF(D116="","",'Mx FORECAST'!DX54)</f>
        <v>5265743.0769230761</v>
      </c>
      <c r="J116" s="155">
        <f>IF(D116="","",'Mx FORECAST'!DP54)</f>
        <v>0</v>
      </c>
      <c r="K116" s="155">
        <f>IF(D116="","",'Mx FORECAST'!DQ54)</f>
        <v>0</v>
      </c>
      <c r="M116" s="155">
        <f>IF(D116="","",'Mx FORECAST'!DR54)</f>
        <v>0</v>
      </c>
      <c r="O116" s="155">
        <f>IF(D116="","",'Mx FORECAST'!DS54)</f>
        <v>0</v>
      </c>
      <c r="Q116" s="155">
        <f>IF(D116="","",'Mx FORECAST'!DT54)</f>
        <v>0</v>
      </c>
      <c r="S116" s="155">
        <f>IF(D116="","",'Mx FORECAST'!DU54)</f>
        <v>0</v>
      </c>
      <c r="U116" s="155">
        <f>IF(D116="","",'Mx FORECAST'!DV54)</f>
        <v>0</v>
      </c>
      <c r="W116" s="540">
        <f>IF(D116="","",'Mx FORECAST'!DY54)</f>
        <v>7006776.9230769239</v>
      </c>
      <c r="X116" s="540"/>
      <c r="Y116" s="437">
        <f>IF(D116="","",'Mx FORECAST'!DZ54)</f>
        <v>0.57093220651316301</v>
      </c>
      <c r="AD116" s="155"/>
      <c r="AF116" s="155"/>
      <c r="AH116" s="155"/>
      <c r="AJ116" s="155"/>
      <c r="AK116" s="8"/>
      <c r="AL116" s="8"/>
      <c r="AM116" s="8"/>
      <c r="AN116" s="8"/>
      <c r="AO116" s="8"/>
      <c r="AP116" s="8"/>
      <c r="AQ116" s="7"/>
      <c r="AR116" s="7"/>
      <c r="AS116" s="7"/>
      <c r="AT116" s="7"/>
      <c r="AU116" s="7"/>
      <c r="AV116" s="7"/>
      <c r="AW116" s="7"/>
      <c r="AX116" s="7"/>
      <c r="AY116" s="7"/>
      <c r="AZ116" s="8"/>
      <c r="BZ116" s="9"/>
      <c r="CA116" s="9"/>
      <c r="CB116" s="9"/>
      <c r="DM116" s="44">
        <f t="shared" si="335"/>
        <v>110</v>
      </c>
      <c r="DN116" s="41">
        <f t="shared" si="309"/>
        <v>12624583.5</v>
      </c>
      <c r="DO116" s="41">
        <f t="shared" si="336"/>
        <v>160895.21688034188</v>
      </c>
      <c r="DP116" s="42">
        <f t="shared" si="310"/>
        <v>0</v>
      </c>
      <c r="DQ116" s="42">
        <f t="shared" si="311"/>
        <v>0</v>
      </c>
      <c r="DR116" s="42">
        <f t="shared" si="312"/>
        <v>0</v>
      </c>
      <c r="DS116" s="42">
        <f t="shared" si="313"/>
        <v>0</v>
      </c>
      <c r="DT116" s="42">
        <f t="shared" si="314"/>
        <v>0</v>
      </c>
      <c r="DU116" s="42">
        <f t="shared" si="315"/>
        <v>0</v>
      </c>
      <c r="DV116" s="42">
        <f t="shared" si="316"/>
        <v>0</v>
      </c>
      <c r="DW116" s="42">
        <f t="shared" si="317"/>
        <v>0</v>
      </c>
      <c r="DX116" s="42">
        <f t="shared" si="318"/>
        <v>5865444.0026709642</v>
      </c>
      <c r="DY116" s="42">
        <f>IF(DM116="",DY115,DN116-SUM($DO$6:DO116)+SUM($DP$6:DV116)-SUM($DW$6:DW116))</f>
        <v>6759139.4973290358</v>
      </c>
      <c r="DZ116" s="43">
        <f t="shared" si="337"/>
        <v>0.53539504866271714</v>
      </c>
      <c r="EA116" s="43"/>
      <c r="EB116" s="43" t="str">
        <f t="shared" si="295"/>
        <v>True</v>
      </c>
      <c r="EC116" s="41">
        <f t="shared" si="286"/>
        <v>222480</v>
      </c>
      <c r="ED116" s="41">
        <f t="shared" si="287"/>
        <v>686673.49999999988</v>
      </c>
      <c r="EE116" s="41">
        <f t="shared" si="319"/>
        <v>902280</v>
      </c>
      <c r="EF116" s="41">
        <f t="shared" si="338"/>
        <v>12360</v>
      </c>
      <c r="EG116" s="42">
        <f t="shared" si="339"/>
        <v>9537.1319444444434</v>
      </c>
      <c r="EH116" s="42">
        <f t="shared" si="340"/>
        <v>6265.8333333333321</v>
      </c>
      <c r="EI116" s="42">
        <f t="shared" si="320"/>
        <v>24720</v>
      </c>
      <c r="EJ116" s="42">
        <f t="shared" si="321"/>
        <v>362411</v>
      </c>
      <c r="EK116" s="42">
        <f t="shared" si="322"/>
        <v>689242</v>
      </c>
      <c r="EL116" s="42">
        <f>IF(DM116="","",EC116-SUM($EF$6:EF116)+SUM($DP$6:DP116))</f>
        <v>197760.00000000047</v>
      </c>
      <c r="EM116" s="42">
        <f>IF(DM116="","",ED116-SUM($EG$6:EG116)+SUM($DQ$6:DQ116))</f>
        <v>324262.48611110903</v>
      </c>
      <c r="EN116" s="42">
        <f>IF(DM116="","",EE116-SUM($EH$6:EH116)+SUM($DR$6:DR116))</f>
        <v>213038.33333333302</v>
      </c>
      <c r="EO116" s="152">
        <f t="shared" si="323"/>
        <v>0.40578956911442926</v>
      </c>
      <c r="EP116" s="43"/>
      <c r="EQ116" s="42">
        <f t="shared" si="324"/>
        <v>448050</v>
      </c>
      <c r="ER116" s="42">
        <f t="shared" si="325"/>
        <v>248100</v>
      </c>
      <c r="ES116" s="42">
        <f t="shared" si="341"/>
        <v>3733.75</v>
      </c>
      <c r="ET116" s="42">
        <f t="shared" si="342"/>
        <v>6122.9807692307695</v>
      </c>
      <c r="EU116" s="42">
        <f t="shared" si="326"/>
        <v>410713</v>
      </c>
      <c r="EV116" s="42">
        <f t="shared" si="327"/>
        <v>177328</v>
      </c>
      <c r="EW116" s="42">
        <f>IF(DM116="","",IF(DS116&gt;0,DS116,EQ116-SUM($ES$6:ES116)+SUM($DS$6:DS116)))</f>
        <v>37337.5</v>
      </c>
      <c r="EX116" s="42">
        <f>IF(DM116="","",IF(DT116&gt;0,DT116,ER116-SUM($ET$6:ET116)+SUM($DT$6:DT116)))</f>
        <v>70772.115384616423</v>
      </c>
      <c r="EY116" s="43">
        <f t="shared" si="328"/>
        <v>0.28525641025641446</v>
      </c>
      <c r="EZ116" s="43">
        <f t="shared" si="329"/>
        <v>8.3333333333333329E-2</v>
      </c>
      <c r="FA116" s="43"/>
      <c r="FB116" s="42">
        <f t="shared" si="330"/>
        <v>4935000</v>
      </c>
      <c r="FC116" s="42">
        <f t="shared" si="331"/>
        <v>5182000</v>
      </c>
      <c r="FD116" s="41">
        <f t="shared" si="343"/>
        <v>89960.9375</v>
      </c>
      <c r="FE116" s="41">
        <f t="shared" si="344"/>
        <v>32914.583333333336</v>
      </c>
      <c r="FF116" s="42">
        <f t="shared" si="332"/>
        <v>2209857</v>
      </c>
      <c r="FG116" s="42">
        <f t="shared" si="333"/>
        <v>1991174</v>
      </c>
      <c r="FH116" s="42">
        <f>IF(DM116="","",IF(DU116&gt;0,DU116,FB116-SUM($FD$6:FD116)+SUM($DU$6:DU116)))</f>
        <v>2725143.2291666642</v>
      </c>
      <c r="FI116" s="42">
        <f>IF(DM116="","",FC116-SUM($FE$6:FE116)+SUM($DV$6:DV116)-SUM($DW$6:DW116))</f>
        <v>3190825.8333333279</v>
      </c>
      <c r="FJ116" s="152">
        <f t="shared" si="334"/>
        <v>0.58475526959572921</v>
      </c>
      <c r="FN116" s="8"/>
      <c r="FO116" s="8"/>
      <c r="FP116" s="8"/>
      <c r="FQ116" s="8"/>
      <c r="FR116" s="8"/>
      <c r="FS116" s="8"/>
      <c r="FT116" s="8"/>
      <c r="FU116" s="8"/>
      <c r="GC116" s="68">
        <f t="shared" si="298"/>
        <v>111</v>
      </c>
      <c r="GD116" s="78">
        <f t="shared" si="299"/>
        <v>0</v>
      </c>
      <c r="GE116" s="309">
        <f t="shared" si="300"/>
        <v>0.52265045262274945</v>
      </c>
      <c r="GF116" s="78">
        <f t="shared" si="301"/>
        <v>0</v>
      </c>
      <c r="GG116" s="310">
        <f t="shared" si="302"/>
        <v>0.39024223310801343</v>
      </c>
      <c r="GH116" s="78">
        <f t="shared" si="303"/>
        <v>0</v>
      </c>
      <c r="GI116" s="310">
        <f t="shared" si="304"/>
        <v>7.4999999999999997E-2</v>
      </c>
      <c r="GJ116" s="311">
        <f t="shared" si="305"/>
        <v>0</v>
      </c>
      <c r="GK116" s="310">
        <f t="shared" si="306"/>
        <v>0.26057692307692731</v>
      </c>
      <c r="GL116" s="311">
        <f t="shared" si="307"/>
        <v>0</v>
      </c>
      <c r="GM116" s="310">
        <f t="shared" si="308"/>
        <v>0.57260981928107724</v>
      </c>
    </row>
    <row r="117" spans="3:223" x14ac:dyDescent="0.2">
      <c r="C117" s="426">
        <f t="shared" si="243"/>
        <v>42767</v>
      </c>
      <c r="D117" s="155">
        <f t="shared" si="244"/>
        <v>49</v>
      </c>
      <c r="E117" s="155">
        <f t="shared" si="296"/>
        <v>12272520</v>
      </c>
      <c r="F117" s="155"/>
      <c r="G117" s="438">
        <f t="shared" si="297"/>
        <v>122596.73076923078</v>
      </c>
      <c r="I117" s="444">
        <f>IF(D117="","",'Mx FORECAST'!DX55)</f>
        <v>5388339.807692307</v>
      </c>
      <c r="J117" s="155">
        <f>IF(D117="","",'Mx FORECAST'!DP55)</f>
        <v>0</v>
      </c>
      <c r="K117" s="155">
        <f>IF(D117="","",'Mx FORECAST'!DQ55)</f>
        <v>0</v>
      </c>
      <c r="M117" s="155">
        <f>IF(D117="","",'Mx FORECAST'!DR55)</f>
        <v>0</v>
      </c>
      <c r="O117" s="155">
        <f>IF(D117="","",'Mx FORECAST'!DS55)</f>
        <v>0</v>
      </c>
      <c r="Q117" s="155">
        <f>IF(D117="","",'Mx FORECAST'!DT55)</f>
        <v>0</v>
      </c>
      <c r="S117" s="155">
        <f>IF(D117="","",'Mx FORECAST'!DU55)</f>
        <v>0</v>
      </c>
      <c r="U117" s="155">
        <f>IF(D117="","",'Mx FORECAST'!DV55)</f>
        <v>0</v>
      </c>
      <c r="W117" s="540">
        <f>IF(D117="","",'Mx FORECAST'!DY55)</f>
        <v>6884180.192307693</v>
      </c>
      <c r="X117" s="540"/>
      <c r="Y117" s="437">
        <f>IF(D117="","",'Mx FORECAST'!DZ55)</f>
        <v>0.56094267455320446</v>
      </c>
      <c r="AD117" s="155"/>
      <c r="AF117" s="155"/>
      <c r="AH117" s="155"/>
      <c r="AJ117" s="155"/>
      <c r="AK117" s="8"/>
      <c r="AL117" s="8"/>
      <c r="AM117" s="8"/>
      <c r="AN117" s="8"/>
      <c r="AO117" s="8"/>
      <c r="AP117" s="8"/>
      <c r="AQ117" s="7"/>
      <c r="AR117" s="7"/>
      <c r="AS117" s="7"/>
      <c r="AT117" s="7"/>
      <c r="AU117" s="7"/>
      <c r="AV117" s="7"/>
      <c r="AW117" s="7"/>
      <c r="AX117" s="7"/>
      <c r="AY117" s="7"/>
      <c r="AZ117" s="8"/>
      <c r="BZ117" s="9"/>
      <c r="CA117" s="9"/>
      <c r="CB117" s="9"/>
      <c r="DM117" s="44">
        <f t="shared" si="335"/>
        <v>111</v>
      </c>
      <c r="DN117" s="41">
        <f t="shared" si="309"/>
        <v>12624583.5</v>
      </c>
      <c r="DO117" s="41">
        <f t="shared" si="336"/>
        <v>160895.21688034188</v>
      </c>
      <c r="DP117" s="42">
        <f t="shared" si="310"/>
        <v>0</v>
      </c>
      <c r="DQ117" s="42">
        <f t="shared" si="311"/>
        <v>0</v>
      </c>
      <c r="DR117" s="42">
        <f t="shared" si="312"/>
        <v>0</v>
      </c>
      <c r="DS117" s="42">
        <f t="shared" si="313"/>
        <v>0</v>
      </c>
      <c r="DT117" s="42">
        <f t="shared" si="314"/>
        <v>0</v>
      </c>
      <c r="DU117" s="42">
        <f t="shared" si="315"/>
        <v>0</v>
      </c>
      <c r="DV117" s="42">
        <f t="shared" si="316"/>
        <v>0</v>
      </c>
      <c r="DW117" s="42">
        <f t="shared" si="317"/>
        <v>0</v>
      </c>
      <c r="DX117" s="42">
        <f t="shared" si="318"/>
        <v>6026339.2195513062</v>
      </c>
      <c r="DY117" s="42">
        <f>IF(DM117="",DY116,DN117-SUM($DO$6:DO117)+SUM($DP$6:DV117)-SUM($DW$6:DW117))</f>
        <v>6598244.2804486938</v>
      </c>
      <c r="DZ117" s="43">
        <f t="shared" si="337"/>
        <v>0.52265045262274945</v>
      </c>
      <c r="EA117" s="43"/>
      <c r="EB117" s="43" t="str">
        <f t="shared" si="295"/>
        <v>True</v>
      </c>
      <c r="EC117" s="41">
        <f t="shared" si="286"/>
        <v>222480</v>
      </c>
      <c r="ED117" s="41">
        <f t="shared" si="287"/>
        <v>686673.49999999988</v>
      </c>
      <c r="EE117" s="41">
        <f t="shared" si="319"/>
        <v>902280</v>
      </c>
      <c r="EF117" s="41">
        <f t="shared" si="338"/>
        <v>12360</v>
      </c>
      <c r="EG117" s="42">
        <f t="shared" si="339"/>
        <v>9537.1319444444434</v>
      </c>
      <c r="EH117" s="42">
        <f t="shared" si="340"/>
        <v>6265.8333333333321</v>
      </c>
      <c r="EI117" s="42">
        <f t="shared" si="320"/>
        <v>37080</v>
      </c>
      <c r="EJ117" s="42">
        <f t="shared" si="321"/>
        <v>371948</v>
      </c>
      <c r="EK117" s="42">
        <f t="shared" si="322"/>
        <v>695508</v>
      </c>
      <c r="EL117" s="42">
        <f>IF(DM117="","",EC117-SUM($EF$6:EF117)+SUM($DP$6:DP117))</f>
        <v>185400.00000000047</v>
      </c>
      <c r="EM117" s="42">
        <f>IF(DM117="","",ED117-SUM($EG$6:EG117)+SUM($DQ$6:DQ117))</f>
        <v>314725.35416666453</v>
      </c>
      <c r="EN117" s="42">
        <f>IF(DM117="","",EE117-SUM($EH$6:EH117)+SUM($DR$6:DR117))</f>
        <v>206772.49999999965</v>
      </c>
      <c r="EO117" s="152">
        <f t="shared" si="323"/>
        <v>0.39024223310801343</v>
      </c>
      <c r="EP117" s="43"/>
      <c r="EQ117" s="42">
        <f t="shared" si="324"/>
        <v>448050</v>
      </c>
      <c r="ER117" s="42">
        <f t="shared" si="325"/>
        <v>248100</v>
      </c>
      <c r="ES117" s="42">
        <f t="shared" si="341"/>
        <v>3733.75</v>
      </c>
      <c r="ET117" s="42">
        <f t="shared" si="342"/>
        <v>6122.9807692307695</v>
      </c>
      <c r="EU117" s="42">
        <f t="shared" si="326"/>
        <v>414446</v>
      </c>
      <c r="EV117" s="42">
        <f t="shared" si="327"/>
        <v>183451</v>
      </c>
      <c r="EW117" s="42">
        <f>IF(DM117="","",IF(DS117&gt;0,DS117,EQ117-SUM($ES$6:ES117)+SUM($DS$6:DS117)))</f>
        <v>33603.75</v>
      </c>
      <c r="EX117" s="42">
        <f>IF(DM117="","",IF(DT117&gt;0,DT117,ER117-SUM($ET$6:ET117)+SUM($DT$6:DT117)))</f>
        <v>64649.134615385672</v>
      </c>
      <c r="EY117" s="43">
        <f t="shared" si="328"/>
        <v>0.26057692307692731</v>
      </c>
      <c r="EZ117" s="43">
        <f t="shared" si="329"/>
        <v>7.4999999999999997E-2</v>
      </c>
      <c r="FA117" s="43"/>
      <c r="FB117" s="42">
        <f t="shared" si="330"/>
        <v>4935000</v>
      </c>
      <c r="FC117" s="42">
        <f t="shared" si="331"/>
        <v>5182000</v>
      </c>
      <c r="FD117" s="41">
        <f t="shared" si="343"/>
        <v>89960.9375</v>
      </c>
      <c r="FE117" s="41">
        <f t="shared" si="344"/>
        <v>32914.583333333336</v>
      </c>
      <c r="FF117" s="42">
        <f t="shared" si="332"/>
        <v>2299818</v>
      </c>
      <c r="FG117" s="42">
        <f t="shared" si="333"/>
        <v>2024089</v>
      </c>
      <c r="FH117" s="42">
        <f>IF(DM117="","",IF(DU117&gt;0,DU117,FB117-SUM($FD$6:FD117)+SUM($DU$6:DU117)))</f>
        <v>2635182.2916666642</v>
      </c>
      <c r="FI117" s="42">
        <f>IF(DM117="","",FC117-SUM($FE$6:FE117)+SUM($DV$6:DV117)-SUM($DW$6:DW117))</f>
        <v>3157911.2499999944</v>
      </c>
      <c r="FJ117" s="152">
        <f t="shared" si="334"/>
        <v>0.57260981928107724</v>
      </c>
      <c r="FN117" s="8"/>
      <c r="FO117" s="8"/>
      <c r="FP117" s="8"/>
      <c r="FQ117" s="8"/>
      <c r="FR117" s="8"/>
      <c r="FS117" s="8"/>
      <c r="FT117" s="8"/>
      <c r="FU117" s="8"/>
      <c r="GC117" s="68">
        <f t="shared" si="298"/>
        <v>112</v>
      </c>
      <c r="GD117" s="78">
        <f t="shared" si="299"/>
        <v>0</v>
      </c>
      <c r="GE117" s="309">
        <f t="shared" si="300"/>
        <v>0.50990585658278165</v>
      </c>
      <c r="GF117" s="78">
        <f t="shared" si="301"/>
        <v>0</v>
      </c>
      <c r="GG117" s="310">
        <f t="shared" si="302"/>
        <v>0.37469489710159759</v>
      </c>
      <c r="GH117" s="78">
        <f t="shared" si="303"/>
        <v>0</v>
      </c>
      <c r="GI117" s="310">
        <f t="shared" si="304"/>
        <v>6.6666666666666666E-2</v>
      </c>
      <c r="GJ117" s="311">
        <f t="shared" si="305"/>
        <v>0</v>
      </c>
      <c r="GK117" s="310">
        <f t="shared" si="306"/>
        <v>0.23589743589744022</v>
      </c>
      <c r="GL117" s="311">
        <f t="shared" si="307"/>
        <v>0</v>
      </c>
      <c r="GM117" s="310">
        <f t="shared" si="308"/>
        <v>0.56046436896642526</v>
      </c>
    </row>
    <row r="118" spans="3:223" x14ac:dyDescent="0.2">
      <c r="C118" s="426">
        <f t="shared" si="243"/>
        <v>42795</v>
      </c>
      <c r="D118" s="155">
        <f t="shared" si="244"/>
        <v>50</v>
      </c>
      <c r="E118" s="155">
        <f t="shared" si="296"/>
        <v>12272520</v>
      </c>
      <c r="F118" s="155"/>
      <c r="G118" s="438">
        <f t="shared" si="297"/>
        <v>122596.73076923078</v>
      </c>
      <c r="I118" s="444">
        <f>IF(D118="","",'Mx FORECAST'!DX56)</f>
        <v>5510936.538461538</v>
      </c>
      <c r="J118" s="155">
        <f>IF(D118="","",'Mx FORECAST'!DP56)</f>
        <v>0</v>
      </c>
      <c r="K118" s="155">
        <f>IF(D118="","",'Mx FORECAST'!DQ56)</f>
        <v>0</v>
      </c>
      <c r="M118" s="155">
        <f>IF(D118="","",'Mx FORECAST'!DR56)</f>
        <v>0</v>
      </c>
      <c r="O118" s="155">
        <f>IF(D118="","",'Mx FORECAST'!DS56)</f>
        <v>0</v>
      </c>
      <c r="Q118" s="155">
        <f>IF(D118="","",'Mx FORECAST'!DT56)</f>
        <v>0</v>
      </c>
      <c r="S118" s="155">
        <f>IF(D118="","",'Mx FORECAST'!DU56)</f>
        <v>0</v>
      </c>
      <c r="U118" s="155">
        <f>IF(D118="","",'Mx FORECAST'!DV56)</f>
        <v>0</v>
      </c>
      <c r="W118" s="540">
        <f>IF(D118="","",'Mx FORECAST'!DY56)</f>
        <v>6761583.461538462</v>
      </c>
      <c r="X118" s="540"/>
      <c r="Y118" s="437">
        <f>IF(D118="","",'Mx FORECAST'!DZ56)</f>
        <v>0.5509531425932459</v>
      </c>
      <c r="AD118" s="155"/>
      <c r="AF118" s="155"/>
      <c r="AH118" s="155"/>
      <c r="AJ118" s="155"/>
      <c r="AK118" s="8"/>
      <c r="AL118" s="8"/>
      <c r="AM118" s="8"/>
      <c r="AN118" s="8"/>
      <c r="AO118" s="8"/>
      <c r="AP118" s="8"/>
      <c r="AQ118" s="7"/>
      <c r="AR118" s="7"/>
      <c r="AS118" s="7"/>
      <c r="AT118" s="7"/>
      <c r="AU118" s="7"/>
      <c r="AV118" s="7"/>
      <c r="AW118" s="7"/>
      <c r="AX118" s="7"/>
      <c r="AY118" s="7"/>
      <c r="AZ118" s="8"/>
      <c r="BZ118" s="9"/>
      <c r="CA118" s="9"/>
      <c r="CB118" s="9"/>
      <c r="DM118" s="44">
        <f t="shared" si="335"/>
        <v>112</v>
      </c>
      <c r="DN118" s="41">
        <f t="shared" si="309"/>
        <v>12624583.5</v>
      </c>
      <c r="DO118" s="41">
        <f t="shared" si="336"/>
        <v>160895.21688034188</v>
      </c>
      <c r="DP118" s="42">
        <f t="shared" si="310"/>
        <v>0</v>
      </c>
      <c r="DQ118" s="42">
        <f t="shared" si="311"/>
        <v>0</v>
      </c>
      <c r="DR118" s="42">
        <f t="shared" si="312"/>
        <v>0</v>
      </c>
      <c r="DS118" s="42">
        <f t="shared" si="313"/>
        <v>0</v>
      </c>
      <c r="DT118" s="42">
        <f t="shared" si="314"/>
        <v>0</v>
      </c>
      <c r="DU118" s="42">
        <f t="shared" si="315"/>
        <v>0</v>
      </c>
      <c r="DV118" s="42">
        <f t="shared" si="316"/>
        <v>0</v>
      </c>
      <c r="DW118" s="42">
        <f t="shared" si="317"/>
        <v>0</v>
      </c>
      <c r="DX118" s="42">
        <f t="shared" si="318"/>
        <v>6187234.4364316482</v>
      </c>
      <c r="DY118" s="42">
        <f>IF(DM118="",DY117,DN118-SUM($DO$6:DO118)+SUM($DP$6:DV118)-SUM($DW$6:DW118))</f>
        <v>6437349.0635683518</v>
      </c>
      <c r="DZ118" s="43">
        <f t="shared" si="337"/>
        <v>0.50990585658278165</v>
      </c>
      <c r="EA118" s="43"/>
      <c r="EB118" s="43" t="str">
        <f t="shared" si="295"/>
        <v>True</v>
      </c>
      <c r="EC118" s="41">
        <f t="shared" si="286"/>
        <v>222480</v>
      </c>
      <c r="ED118" s="41">
        <f t="shared" si="287"/>
        <v>686673.49999999988</v>
      </c>
      <c r="EE118" s="41">
        <f t="shared" si="319"/>
        <v>902280</v>
      </c>
      <c r="EF118" s="41">
        <f t="shared" si="338"/>
        <v>12360</v>
      </c>
      <c r="EG118" s="42">
        <f t="shared" si="339"/>
        <v>9537.1319444444434</v>
      </c>
      <c r="EH118" s="42">
        <f t="shared" si="340"/>
        <v>6265.8333333333321</v>
      </c>
      <c r="EI118" s="42">
        <f t="shared" si="320"/>
        <v>49440</v>
      </c>
      <c r="EJ118" s="42">
        <f t="shared" si="321"/>
        <v>381485</v>
      </c>
      <c r="EK118" s="42">
        <f t="shared" si="322"/>
        <v>701773</v>
      </c>
      <c r="EL118" s="42">
        <f>IF(DM118="","",EC118-SUM($EF$6:EF118)+SUM($DP$6:DP118))</f>
        <v>173040.00000000047</v>
      </c>
      <c r="EM118" s="42">
        <f>IF(DM118="","",ED118-SUM($EG$6:EG118)+SUM($DQ$6:DQ118))</f>
        <v>305188.22222222004</v>
      </c>
      <c r="EN118" s="42">
        <f>IF(DM118="","",EE118-SUM($EH$6:EH118)+SUM($DR$6:DR118))</f>
        <v>200506.66666666628</v>
      </c>
      <c r="EO118" s="152">
        <f t="shared" si="323"/>
        <v>0.37469489710159759</v>
      </c>
      <c r="EP118" s="43"/>
      <c r="EQ118" s="42">
        <f t="shared" si="324"/>
        <v>448050</v>
      </c>
      <c r="ER118" s="42">
        <f t="shared" si="325"/>
        <v>248100</v>
      </c>
      <c r="ES118" s="42">
        <f t="shared" si="341"/>
        <v>3733.75</v>
      </c>
      <c r="ET118" s="42">
        <f t="shared" si="342"/>
        <v>6122.9807692307695</v>
      </c>
      <c r="EU118" s="42">
        <f t="shared" si="326"/>
        <v>418180</v>
      </c>
      <c r="EV118" s="42">
        <f t="shared" si="327"/>
        <v>189574</v>
      </c>
      <c r="EW118" s="42">
        <f>IF(DM118="","",IF(DS118&gt;0,DS118,EQ118-SUM($ES$6:ES118)+SUM($DS$6:DS118)))</f>
        <v>29870</v>
      </c>
      <c r="EX118" s="42">
        <f>IF(DM118="","",IF(DT118&gt;0,DT118,ER118-SUM($ET$6:ET118)+SUM($DT$6:DT118)))</f>
        <v>58526.153846154921</v>
      </c>
      <c r="EY118" s="43">
        <f t="shared" si="328"/>
        <v>0.23589743589744022</v>
      </c>
      <c r="EZ118" s="43">
        <f t="shared" si="329"/>
        <v>6.6666666666666666E-2</v>
      </c>
      <c r="FA118" s="43"/>
      <c r="FB118" s="42">
        <f t="shared" si="330"/>
        <v>4935000</v>
      </c>
      <c r="FC118" s="42">
        <f t="shared" si="331"/>
        <v>5182000</v>
      </c>
      <c r="FD118" s="41">
        <f t="shared" si="343"/>
        <v>89960.9375</v>
      </c>
      <c r="FE118" s="41">
        <f t="shared" si="344"/>
        <v>32914.583333333336</v>
      </c>
      <c r="FF118" s="42">
        <f t="shared" si="332"/>
        <v>2389779</v>
      </c>
      <c r="FG118" s="42">
        <f t="shared" si="333"/>
        <v>2057003</v>
      </c>
      <c r="FH118" s="42">
        <f>IF(DM118="","",IF(DU118&gt;0,DU118,FB118-SUM($FD$6:FD118)+SUM($DU$6:DU118)))</f>
        <v>2545221.3541666642</v>
      </c>
      <c r="FI118" s="42">
        <f>IF(DM118="","",FC118-SUM($FE$6:FE118)+SUM($DV$6:DV118)-SUM($DW$6:DW118))</f>
        <v>3124996.6666666609</v>
      </c>
      <c r="FJ118" s="152">
        <f t="shared" si="334"/>
        <v>0.56046436896642526</v>
      </c>
      <c r="FN118" s="8"/>
      <c r="FO118" s="8"/>
      <c r="FP118" s="8"/>
      <c r="FQ118" s="8"/>
      <c r="FR118" s="8"/>
      <c r="FS118" s="8"/>
      <c r="FT118" s="8"/>
      <c r="FU118" s="8"/>
      <c r="GC118" s="68">
        <f t="shared" si="298"/>
        <v>113</v>
      </c>
      <c r="GD118" s="78">
        <f t="shared" si="299"/>
        <v>0</v>
      </c>
      <c r="GE118" s="309">
        <f t="shared" si="300"/>
        <v>0.49716126054281395</v>
      </c>
      <c r="GF118" s="78">
        <f t="shared" si="301"/>
        <v>0</v>
      </c>
      <c r="GG118" s="310">
        <f t="shared" si="302"/>
        <v>0.35914756109518176</v>
      </c>
      <c r="GH118" s="78">
        <f t="shared" si="303"/>
        <v>0</v>
      </c>
      <c r="GI118" s="310">
        <f t="shared" si="304"/>
        <v>5.8333333333333334E-2</v>
      </c>
      <c r="GJ118" s="311">
        <f t="shared" si="305"/>
        <v>0</v>
      </c>
      <c r="GK118" s="310">
        <f t="shared" si="306"/>
        <v>0.21121794871795313</v>
      </c>
      <c r="GL118" s="311">
        <f t="shared" si="307"/>
        <v>0</v>
      </c>
      <c r="GM118" s="310">
        <f t="shared" si="308"/>
        <v>0.5483189186517734</v>
      </c>
    </row>
    <row r="119" spans="3:223" x14ac:dyDescent="0.2">
      <c r="C119" s="426">
        <f t="shared" si="243"/>
        <v>42826</v>
      </c>
      <c r="D119" s="155">
        <f t="shared" si="244"/>
        <v>51</v>
      </c>
      <c r="E119" s="155">
        <f t="shared" si="296"/>
        <v>12272520</v>
      </c>
      <c r="F119" s="155"/>
      <c r="G119" s="438">
        <f t="shared" si="297"/>
        <v>122596.73076923078</v>
      </c>
      <c r="I119" s="444">
        <f>IF(D119="","",'Mx FORECAST'!DX57)</f>
        <v>5633533.269230769</v>
      </c>
      <c r="J119" s="155">
        <f>IF(D119="","",'Mx FORECAST'!DP57)</f>
        <v>0</v>
      </c>
      <c r="K119" s="155">
        <f>IF(D119="","",'Mx FORECAST'!DQ57)</f>
        <v>0</v>
      </c>
      <c r="M119" s="155">
        <f>IF(D119="","",'Mx FORECAST'!DR57)</f>
        <v>0</v>
      </c>
      <c r="O119" s="155">
        <f>IF(D119="","",'Mx FORECAST'!DS57)</f>
        <v>0</v>
      </c>
      <c r="Q119" s="155">
        <f>IF(D119="","",'Mx FORECAST'!DT57)</f>
        <v>0</v>
      </c>
      <c r="S119" s="155">
        <f>IF(D119="","",'Mx FORECAST'!DU57)</f>
        <v>0</v>
      </c>
      <c r="U119" s="155">
        <f>IF(D119="","",'Mx FORECAST'!DV57)</f>
        <v>0</v>
      </c>
      <c r="W119" s="540">
        <f>IF(D119="","",'Mx FORECAST'!DY57)</f>
        <v>6638986.730769231</v>
      </c>
      <c r="X119" s="540"/>
      <c r="Y119" s="437">
        <f>IF(D119="","",'Mx FORECAST'!DZ57)</f>
        <v>0.54096361063328724</v>
      </c>
      <c r="AD119" s="155"/>
      <c r="AF119" s="155"/>
      <c r="AH119" s="155"/>
      <c r="AJ119" s="155"/>
      <c r="AK119" s="8"/>
      <c r="AL119" s="8"/>
      <c r="AM119" s="8"/>
      <c r="AN119" s="8"/>
      <c r="AO119" s="8"/>
      <c r="AP119" s="8"/>
      <c r="AQ119" s="7"/>
      <c r="AR119" s="7"/>
      <c r="AS119" s="7"/>
      <c r="AT119" s="7"/>
      <c r="AU119" s="7"/>
      <c r="AV119" s="7"/>
      <c r="AW119" s="7"/>
      <c r="AX119" s="7"/>
      <c r="AY119" s="7"/>
      <c r="AZ119" s="8"/>
      <c r="BZ119" s="9"/>
      <c r="CA119" s="9"/>
      <c r="CB119" s="9"/>
      <c r="DM119" s="44">
        <f t="shared" si="335"/>
        <v>113</v>
      </c>
      <c r="DN119" s="41">
        <f t="shared" si="309"/>
        <v>12624583.5</v>
      </c>
      <c r="DO119" s="41">
        <f t="shared" si="336"/>
        <v>160895.21688034188</v>
      </c>
      <c r="DP119" s="42">
        <f t="shared" si="310"/>
        <v>0</v>
      </c>
      <c r="DQ119" s="42">
        <f t="shared" si="311"/>
        <v>0</v>
      </c>
      <c r="DR119" s="42">
        <f t="shared" si="312"/>
        <v>0</v>
      </c>
      <c r="DS119" s="42">
        <f t="shared" si="313"/>
        <v>0</v>
      </c>
      <c r="DT119" s="42">
        <f t="shared" si="314"/>
        <v>0</v>
      </c>
      <c r="DU119" s="42">
        <f t="shared" si="315"/>
        <v>0</v>
      </c>
      <c r="DV119" s="42">
        <f t="shared" si="316"/>
        <v>0</v>
      </c>
      <c r="DW119" s="42">
        <f t="shared" si="317"/>
        <v>0</v>
      </c>
      <c r="DX119" s="42">
        <f t="shared" si="318"/>
        <v>6348129.6533119902</v>
      </c>
      <c r="DY119" s="42">
        <f>IF(DM119="",DY118,DN119-SUM($DO$6:DO119)+SUM($DP$6:DV119)-SUM($DW$6:DW119))</f>
        <v>6276453.8466880098</v>
      </c>
      <c r="DZ119" s="43">
        <f t="shared" si="337"/>
        <v>0.49716126054281395</v>
      </c>
      <c r="EA119" s="43"/>
      <c r="EB119" s="43" t="str">
        <f t="shared" si="295"/>
        <v>True</v>
      </c>
      <c r="EC119" s="41">
        <f t="shared" si="286"/>
        <v>222480</v>
      </c>
      <c r="ED119" s="41">
        <f t="shared" si="287"/>
        <v>686673.49999999988</v>
      </c>
      <c r="EE119" s="41">
        <f t="shared" si="319"/>
        <v>902280</v>
      </c>
      <c r="EF119" s="41">
        <f t="shared" si="338"/>
        <v>12360</v>
      </c>
      <c r="EG119" s="42">
        <f t="shared" si="339"/>
        <v>9537.1319444444434</v>
      </c>
      <c r="EH119" s="42">
        <f t="shared" si="340"/>
        <v>6265.8333333333321</v>
      </c>
      <c r="EI119" s="42">
        <f t="shared" si="320"/>
        <v>61800</v>
      </c>
      <c r="EJ119" s="42">
        <f t="shared" si="321"/>
        <v>391022</v>
      </c>
      <c r="EK119" s="42">
        <f t="shared" si="322"/>
        <v>708039</v>
      </c>
      <c r="EL119" s="42">
        <f>IF(DM119="","",EC119-SUM($EF$6:EF119)+SUM($DP$6:DP119))</f>
        <v>160680.00000000047</v>
      </c>
      <c r="EM119" s="42">
        <f>IF(DM119="","",ED119-SUM($EG$6:EG119)+SUM($DQ$6:DQ119))</f>
        <v>295651.09027777554</v>
      </c>
      <c r="EN119" s="42">
        <f>IF(DM119="","",EE119-SUM($EH$6:EH119)+SUM($DR$6:DR119))</f>
        <v>194240.83333333291</v>
      </c>
      <c r="EO119" s="152">
        <f t="shared" si="323"/>
        <v>0.35914756109518176</v>
      </c>
      <c r="EP119" s="43"/>
      <c r="EQ119" s="42">
        <f t="shared" si="324"/>
        <v>448050</v>
      </c>
      <c r="ER119" s="42">
        <f t="shared" si="325"/>
        <v>248100</v>
      </c>
      <c r="ES119" s="42">
        <f t="shared" si="341"/>
        <v>3733.75</v>
      </c>
      <c r="ET119" s="42">
        <f t="shared" si="342"/>
        <v>6122.9807692307695</v>
      </c>
      <c r="EU119" s="42">
        <f t="shared" si="326"/>
        <v>421914</v>
      </c>
      <c r="EV119" s="42">
        <f t="shared" si="327"/>
        <v>195697</v>
      </c>
      <c r="EW119" s="42">
        <f>IF(DM119="","",IF(DS119&gt;0,DS119,EQ119-SUM($ES$6:ES119)+SUM($DS$6:DS119)))</f>
        <v>26136.25</v>
      </c>
      <c r="EX119" s="42">
        <f>IF(DM119="","",IF(DT119&gt;0,DT119,ER119-SUM($ET$6:ET119)+SUM($DT$6:DT119)))</f>
        <v>52403.173076924169</v>
      </c>
      <c r="EY119" s="43">
        <f t="shared" si="328"/>
        <v>0.21121794871795313</v>
      </c>
      <c r="EZ119" s="43">
        <f t="shared" si="329"/>
        <v>5.8333333333333334E-2</v>
      </c>
      <c r="FA119" s="43"/>
      <c r="FB119" s="42">
        <f t="shared" si="330"/>
        <v>4935000</v>
      </c>
      <c r="FC119" s="42">
        <f t="shared" si="331"/>
        <v>5182000</v>
      </c>
      <c r="FD119" s="41">
        <f t="shared" si="343"/>
        <v>89960.9375</v>
      </c>
      <c r="FE119" s="41">
        <f t="shared" si="344"/>
        <v>32914.583333333336</v>
      </c>
      <c r="FF119" s="42">
        <f t="shared" si="332"/>
        <v>2479740</v>
      </c>
      <c r="FG119" s="42">
        <f t="shared" si="333"/>
        <v>2089918</v>
      </c>
      <c r="FH119" s="42">
        <f>IF(DM119="","",IF(DU119&gt;0,DU119,FB119-SUM($FD$6:FD119)+SUM($DU$6:DU119)))</f>
        <v>2455260.4166666642</v>
      </c>
      <c r="FI119" s="42">
        <f>IF(DM119="","",FC119-SUM($FE$6:FE119)+SUM($DV$6:DV119)-SUM($DW$6:DW119))</f>
        <v>3092082.0833333274</v>
      </c>
      <c r="FJ119" s="152">
        <f t="shared" si="334"/>
        <v>0.5483189186517734</v>
      </c>
      <c r="FN119" s="8"/>
      <c r="FO119" s="8"/>
      <c r="FP119" s="8"/>
      <c r="FQ119" s="8"/>
      <c r="FR119" s="8"/>
      <c r="FS119" s="8"/>
      <c r="FT119" s="8"/>
      <c r="FU119" s="8"/>
      <c r="GC119" s="68">
        <f t="shared" si="298"/>
        <v>114</v>
      </c>
      <c r="GD119" s="78">
        <f t="shared" si="299"/>
        <v>0</v>
      </c>
      <c r="GE119" s="309">
        <f t="shared" si="300"/>
        <v>0.48441666450284621</v>
      </c>
      <c r="GF119" s="78">
        <f t="shared" si="301"/>
        <v>0</v>
      </c>
      <c r="GG119" s="310">
        <f t="shared" si="302"/>
        <v>0.34360022508876592</v>
      </c>
      <c r="GH119" s="78">
        <f t="shared" si="303"/>
        <v>0</v>
      </c>
      <c r="GI119" s="310">
        <f t="shared" si="304"/>
        <v>0.05</v>
      </c>
      <c r="GJ119" s="311">
        <f t="shared" si="305"/>
        <v>0</v>
      </c>
      <c r="GK119" s="310">
        <f t="shared" si="306"/>
        <v>0.18653846153846601</v>
      </c>
      <c r="GL119" s="311">
        <f t="shared" si="307"/>
        <v>0</v>
      </c>
      <c r="GM119" s="310">
        <f t="shared" si="308"/>
        <v>0.53617346833712154</v>
      </c>
    </row>
    <row r="120" spans="3:223" x14ac:dyDescent="0.2">
      <c r="C120" s="426">
        <f t="shared" si="243"/>
        <v>42856</v>
      </c>
      <c r="D120" s="155">
        <f t="shared" si="244"/>
        <v>52</v>
      </c>
      <c r="E120" s="155">
        <f t="shared" si="296"/>
        <v>12272520</v>
      </c>
      <c r="F120" s="155"/>
      <c r="G120" s="438">
        <f t="shared" si="297"/>
        <v>122596.73076923078</v>
      </c>
      <c r="I120" s="444">
        <f>IF(D120="","",'Mx FORECAST'!DX58)</f>
        <v>5756130</v>
      </c>
      <c r="J120" s="155">
        <f>IF(D120="","",'Mx FORECAST'!DP58)</f>
        <v>0</v>
      </c>
      <c r="K120" s="155">
        <f>IF(D120="","",'Mx FORECAST'!DQ58)</f>
        <v>0</v>
      </c>
      <c r="M120" s="155">
        <f>IF(D120="","",'Mx FORECAST'!DR58)</f>
        <v>0</v>
      </c>
      <c r="O120" s="155">
        <f>IF(D120="","",'Mx FORECAST'!DS58)</f>
        <v>0</v>
      </c>
      <c r="Q120" s="155">
        <f>IF(D120="","",'Mx FORECAST'!DT58)</f>
        <v>0</v>
      </c>
      <c r="S120" s="155">
        <f>IF(D120="","",'Mx FORECAST'!DU58)</f>
        <v>0</v>
      </c>
      <c r="U120" s="155">
        <f>IF(D120="","",'Mx FORECAST'!DV58)</f>
        <v>0</v>
      </c>
      <c r="W120" s="540">
        <f>IF(D120="","",'Mx FORECAST'!DY58)</f>
        <v>6516390</v>
      </c>
      <c r="X120" s="540"/>
      <c r="Y120" s="437">
        <f>IF(D120="","",'Mx FORECAST'!DZ58)</f>
        <v>0.53097407867332869</v>
      </c>
      <c r="AD120" s="155"/>
      <c r="AF120" s="155"/>
      <c r="AH120" s="155"/>
      <c r="AJ120" s="155"/>
      <c r="AK120" s="8"/>
      <c r="AL120" s="8"/>
      <c r="AM120" s="8"/>
      <c r="AN120" s="8"/>
      <c r="AO120" s="8"/>
      <c r="AP120" s="8"/>
      <c r="AQ120" s="7"/>
      <c r="AR120" s="7"/>
      <c r="AS120" s="7"/>
      <c r="AT120" s="7"/>
      <c r="AU120" s="7"/>
      <c r="AV120" s="7"/>
      <c r="AW120" s="7"/>
      <c r="AX120" s="7"/>
      <c r="AY120" s="7"/>
      <c r="AZ120" s="8"/>
      <c r="BZ120" s="9"/>
      <c r="CA120" s="9"/>
      <c r="CB120" s="9"/>
      <c r="DM120" s="44">
        <f t="shared" si="335"/>
        <v>114</v>
      </c>
      <c r="DN120" s="41">
        <f t="shared" si="309"/>
        <v>12624583.5</v>
      </c>
      <c r="DO120" s="41">
        <f t="shared" si="336"/>
        <v>160895.21688034188</v>
      </c>
      <c r="DP120" s="42">
        <f t="shared" si="310"/>
        <v>0</v>
      </c>
      <c r="DQ120" s="42">
        <f t="shared" si="311"/>
        <v>0</v>
      </c>
      <c r="DR120" s="42">
        <f t="shared" si="312"/>
        <v>0</v>
      </c>
      <c r="DS120" s="42">
        <f t="shared" si="313"/>
        <v>0</v>
      </c>
      <c r="DT120" s="42">
        <f t="shared" si="314"/>
        <v>0</v>
      </c>
      <c r="DU120" s="42">
        <f t="shared" si="315"/>
        <v>0</v>
      </c>
      <c r="DV120" s="42">
        <f t="shared" si="316"/>
        <v>0</v>
      </c>
      <c r="DW120" s="42">
        <f t="shared" si="317"/>
        <v>0</v>
      </c>
      <c r="DX120" s="42">
        <f t="shared" si="318"/>
        <v>6509024.8701923322</v>
      </c>
      <c r="DY120" s="42">
        <f>IF(DM120="",DY119,DN120-SUM($DO$6:DO120)+SUM($DP$6:DV120)-SUM($DW$6:DW120))</f>
        <v>6115558.6298076678</v>
      </c>
      <c r="DZ120" s="43">
        <f t="shared" si="337"/>
        <v>0.48441666450284621</v>
      </c>
      <c r="EA120" s="43"/>
      <c r="EB120" s="43" t="str">
        <f t="shared" si="295"/>
        <v>True</v>
      </c>
      <c r="EC120" s="41">
        <f t="shared" si="286"/>
        <v>222480</v>
      </c>
      <c r="ED120" s="41">
        <f t="shared" si="287"/>
        <v>686673.49999999988</v>
      </c>
      <c r="EE120" s="41">
        <f t="shared" si="319"/>
        <v>902280</v>
      </c>
      <c r="EF120" s="41">
        <f t="shared" si="338"/>
        <v>12360</v>
      </c>
      <c r="EG120" s="42">
        <f t="shared" si="339"/>
        <v>9537.1319444444434</v>
      </c>
      <c r="EH120" s="42">
        <f t="shared" si="340"/>
        <v>6265.8333333333321</v>
      </c>
      <c r="EI120" s="42">
        <f t="shared" si="320"/>
        <v>74160</v>
      </c>
      <c r="EJ120" s="42">
        <f t="shared" si="321"/>
        <v>400560</v>
      </c>
      <c r="EK120" s="42">
        <f t="shared" si="322"/>
        <v>714305</v>
      </c>
      <c r="EL120" s="42">
        <f>IF(DM120="","",EC120-SUM($EF$6:EF120)+SUM($DP$6:DP120))</f>
        <v>148320.00000000047</v>
      </c>
      <c r="EM120" s="42">
        <f>IF(DM120="","",ED120-SUM($EG$6:EG120)+SUM($DQ$6:DQ120))</f>
        <v>286113.95833333104</v>
      </c>
      <c r="EN120" s="42">
        <f>IF(DM120="","",EE120-SUM($EH$6:EH120)+SUM($DR$6:DR120))</f>
        <v>187974.99999999953</v>
      </c>
      <c r="EO120" s="152">
        <f t="shared" si="323"/>
        <v>0.34360022508876592</v>
      </c>
      <c r="EP120" s="43"/>
      <c r="EQ120" s="42">
        <f t="shared" si="324"/>
        <v>448050</v>
      </c>
      <c r="ER120" s="42">
        <f t="shared" si="325"/>
        <v>248100</v>
      </c>
      <c r="ES120" s="42">
        <f t="shared" si="341"/>
        <v>3733.75</v>
      </c>
      <c r="ET120" s="42">
        <f t="shared" si="342"/>
        <v>6122.9807692307695</v>
      </c>
      <c r="EU120" s="42">
        <f t="shared" si="326"/>
        <v>425648</v>
      </c>
      <c r="EV120" s="42">
        <f t="shared" si="327"/>
        <v>201820</v>
      </c>
      <c r="EW120" s="42">
        <f>IF(DM120="","",IF(DS120&gt;0,DS120,EQ120-SUM($ES$6:ES120)+SUM($DS$6:DS120)))</f>
        <v>22402.5</v>
      </c>
      <c r="EX120" s="42">
        <f>IF(DM120="","",IF(DT120&gt;0,DT120,ER120-SUM($ET$6:ET120)+SUM($DT$6:DT120)))</f>
        <v>46280.192307693418</v>
      </c>
      <c r="EY120" s="43">
        <f t="shared" si="328"/>
        <v>0.18653846153846601</v>
      </c>
      <c r="EZ120" s="43">
        <f t="shared" si="329"/>
        <v>0.05</v>
      </c>
      <c r="FA120" s="43"/>
      <c r="FB120" s="42">
        <f t="shared" si="330"/>
        <v>4935000</v>
      </c>
      <c r="FC120" s="42">
        <f t="shared" si="331"/>
        <v>5182000</v>
      </c>
      <c r="FD120" s="41">
        <f t="shared" si="343"/>
        <v>89960.9375</v>
      </c>
      <c r="FE120" s="41">
        <f t="shared" si="344"/>
        <v>32914.583333333336</v>
      </c>
      <c r="FF120" s="42">
        <f t="shared" si="332"/>
        <v>2569701</v>
      </c>
      <c r="FG120" s="42">
        <f t="shared" si="333"/>
        <v>2122833</v>
      </c>
      <c r="FH120" s="42">
        <f>IF(DM120="","",IF(DU120&gt;0,DU120,FB120-SUM($FD$6:FD120)+SUM($DU$6:DU120)))</f>
        <v>2365299.4791666642</v>
      </c>
      <c r="FI120" s="42">
        <f>IF(DM120="","",FC120-SUM($FE$6:FE120)+SUM($DV$6:DV120)-SUM($DW$6:DW120))</f>
        <v>3059167.4999999939</v>
      </c>
      <c r="FJ120" s="152">
        <f t="shared" si="334"/>
        <v>0.53617346833712154</v>
      </c>
      <c r="FN120" s="8"/>
      <c r="FO120" s="8"/>
      <c r="FP120" s="8"/>
      <c r="FQ120" s="8"/>
      <c r="FR120" s="8"/>
      <c r="FS120" s="8"/>
      <c r="FT120" s="8"/>
      <c r="FU120" s="8"/>
      <c r="GC120" s="68">
        <f t="shared" si="298"/>
        <v>115</v>
      </c>
      <c r="GD120" s="78">
        <f t="shared" si="299"/>
        <v>0</v>
      </c>
      <c r="GE120" s="309">
        <f t="shared" si="300"/>
        <v>0.47167206846287846</v>
      </c>
      <c r="GF120" s="78">
        <f t="shared" si="301"/>
        <v>0</v>
      </c>
      <c r="GG120" s="310">
        <f t="shared" si="302"/>
        <v>0.32805288908235009</v>
      </c>
      <c r="GH120" s="78">
        <f t="shared" si="303"/>
        <v>0</v>
      </c>
      <c r="GI120" s="310">
        <f t="shared" si="304"/>
        <v>4.1666666666666664E-2</v>
      </c>
      <c r="GJ120" s="311">
        <f t="shared" si="305"/>
        <v>0</v>
      </c>
      <c r="GK120" s="310">
        <f t="shared" si="306"/>
        <v>0.16185897435897892</v>
      </c>
      <c r="GL120" s="311">
        <f t="shared" si="307"/>
        <v>0</v>
      </c>
      <c r="GM120" s="310">
        <f t="shared" si="308"/>
        <v>0.52402801802246957</v>
      </c>
    </row>
    <row r="121" spans="3:223" x14ac:dyDescent="0.2">
      <c r="C121" s="426">
        <f t="shared" si="243"/>
        <v>42887</v>
      </c>
      <c r="D121" s="155">
        <f t="shared" si="244"/>
        <v>53</v>
      </c>
      <c r="E121" s="155">
        <f t="shared" si="296"/>
        <v>12272520</v>
      </c>
      <c r="F121" s="155"/>
      <c r="G121" s="438">
        <f t="shared" si="297"/>
        <v>122596.73076923078</v>
      </c>
      <c r="I121" s="444">
        <f>IF(D121="","",'Mx FORECAST'!DX59)</f>
        <v>5878726.730769231</v>
      </c>
      <c r="J121" s="155">
        <f>IF(D121="","",'Mx FORECAST'!DP59)</f>
        <v>0</v>
      </c>
      <c r="K121" s="155">
        <f>IF(D121="","",'Mx FORECAST'!DQ59)</f>
        <v>0</v>
      </c>
      <c r="M121" s="155">
        <f>IF(D121="","",'Mx FORECAST'!DR59)</f>
        <v>0</v>
      </c>
      <c r="O121" s="155">
        <f>IF(D121="","",'Mx FORECAST'!DS59)</f>
        <v>0</v>
      </c>
      <c r="Q121" s="155">
        <f>IF(D121="","",'Mx FORECAST'!DT59)</f>
        <v>0</v>
      </c>
      <c r="S121" s="155">
        <f>IF(D121="","",'Mx FORECAST'!DU59)</f>
        <v>0</v>
      </c>
      <c r="U121" s="155">
        <f>IF(D121="","",'Mx FORECAST'!DV59)</f>
        <v>0</v>
      </c>
      <c r="W121" s="540">
        <f>IF(D121="","",'Mx FORECAST'!DY59)</f>
        <v>6393793.269230769</v>
      </c>
      <c r="X121" s="540"/>
      <c r="Y121" s="437">
        <f>IF(D121="","",'Mx FORECAST'!DZ59)</f>
        <v>0.52098454671337013</v>
      </c>
      <c r="AD121" s="155"/>
      <c r="AF121" s="155"/>
      <c r="AH121" s="155"/>
      <c r="AJ121" s="155"/>
      <c r="AK121" s="8"/>
      <c r="AL121" s="8"/>
      <c r="AM121" s="8"/>
      <c r="AN121" s="8"/>
      <c r="AO121" s="8"/>
      <c r="AP121" s="8"/>
      <c r="AQ121" s="7"/>
      <c r="AR121" s="7"/>
      <c r="AS121" s="7"/>
      <c r="AT121" s="7"/>
      <c r="AU121" s="7"/>
      <c r="AV121" s="7"/>
      <c r="AW121" s="7"/>
      <c r="AX121" s="7"/>
      <c r="AY121" s="7"/>
      <c r="AZ121" s="8"/>
      <c r="BZ121" s="9"/>
      <c r="CA121" s="9"/>
      <c r="CB121" s="9"/>
      <c r="DM121" s="44">
        <f t="shared" si="335"/>
        <v>115</v>
      </c>
      <c r="DN121" s="41">
        <f t="shared" si="309"/>
        <v>12624583.5</v>
      </c>
      <c r="DO121" s="41">
        <f t="shared" si="336"/>
        <v>160895.21688034188</v>
      </c>
      <c r="DP121" s="42">
        <f t="shared" si="310"/>
        <v>0</v>
      </c>
      <c r="DQ121" s="42">
        <f t="shared" si="311"/>
        <v>0</v>
      </c>
      <c r="DR121" s="42">
        <f t="shared" si="312"/>
        <v>0</v>
      </c>
      <c r="DS121" s="42">
        <f t="shared" si="313"/>
        <v>0</v>
      </c>
      <c r="DT121" s="42">
        <f t="shared" si="314"/>
        <v>0</v>
      </c>
      <c r="DU121" s="42">
        <f t="shared" si="315"/>
        <v>0</v>
      </c>
      <c r="DV121" s="42">
        <f t="shared" si="316"/>
        <v>0</v>
      </c>
      <c r="DW121" s="42">
        <f t="shared" si="317"/>
        <v>0</v>
      </c>
      <c r="DX121" s="42">
        <f t="shared" si="318"/>
        <v>6669920.0870726742</v>
      </c>
      <c r="DY121" s="42">
        <f>IF(DM121="",DY120,DN121-SUM($DO$6:DO121)+SUM($DP$6:DV121)-SUM($DW$6:DW121))</f>
        <v>5954663.4129273258</v>
      </c>
      <c r="DZ121" s="43">
        <f t="shared" si="337"/>
        <v>0.47167206846287846</v>
      </c>
      <c r="EA121" s="43"/>
      <c r="EB121" s="43" t="str">
        <f t="shared" si="295"/>
        <v>True</v>
      </c>
      <c r="EC121" s="41">
        <f t="shared" si="286"/>
        <v>222480</v>
      </c>
      <c r="ED121" s="41">
        <f t="shared" si="287"/>
        <v>686673.49999999988</v>
      </c>
      <c r="EE121" s="41">
        <f t="shared" si="319"/>
        <v>902280</v>
      </c>
      <c r="EF121" s="41">
        <f t="shared" si="338"/>
        <v>12360</v>
      </c>
      <c r="EG121" s="42">
        <f t="shared" si="339"/>
        <v>9537.1319444444434</v>
      </c>
      <c r="EH121" s="42">
        <f t="shared" si="340"/>
        <v>6265.8333333333321</v>
      </c>
      <c r="EI121" s="42">
        <f t="shared" si="320"/>
        <v>86520</v>
      </c>
      <c r="EJ121" s="42">
        <f t="shared" si="321"/>
        <v>410097</v>
      </c>
      <c r="EK121" s="42">
        <f t="shared" si="322"/>
        <v>720571</v>
      </c>
      <c r="EL121" s="42">
        <f>IF(DM121="","",EC121-SUM($EF$6:EF121)+SUM($DP$6:DP121))</f>
        <v>135960.00000000047</v>
      </c>
      <c r="EM121" s="42">
        <f>IF(DM121="","",ED121-SUM($EG$6:EG121)+SUM($DQ$6:DQ121))</f>
        <v>276576.82638888655</v>
      </c>
      <c r="EN121" s="42">
        <f>IF(DM121="","",EE121-SUM($EH$6:EH121)+SUM($DR$6:DR121))</f>
        <v>181709.16666666616</v>
      </c>
      <c r="EO121" s="152">
        <f t="shared" si="323"/>
        <v>0.32805288908235009</v>
      </c>
      <c r="EP121" s="43"/>
      <c r="EQ121" s="42">
        <f t="shared" si="324"/>
        <v>448050</v>
      </c>
      <c r="ER121" s="42">
        <f t="shared" si="325"/>
        <v>248100</v>
      </c>
      <c r="ES121" s="42">
        <f t="shared" si="341"/>
        <v>3733.75</v>
      </c>
      <c r="ET121" s="42">
        <f t="shared" si="342"/>
        <v>6122.9807692307695</v>
      </c>
      <c r="EU121" s="42">
        <f t="shared" si="326"/>
        <v>429381</v>
      </c>
      <c r="EV121" s="42">
        <f t="shared" si="327"/>
        <v>207943</v>
      </c>
      <c r="EW121" s="42">
        <f>IF(DM121="","",IF(DS121&gt;0,DS121,EQ121-SUM($ES$6:ES121)+SUM($DS$6:DS121)))</f>
        <v>18668.75</v>
      </c>
      <c r="EX121" s="42">
        <f>IF(DM121="","",IF(DT121&gt;0,DT121,ER121-SUM($ET$6:ET121)+SUM($DT$6:DT121)))</f>
        <v>40157.211538462667</v>
      </c>
      <c r="EY121" s="43">
        <f t="shared" si="328"/>
        <v>0.16185897435897892</v>
      </c>
      <c r="EZ121" s="43">
        <f t="shared" si="329"/>
        <v>4.1666666666666664E-2</v>
      </c>
      <c r="FA121" s="43"/>
      <c r="FB121" s="42">
        <f t="shared" si="330"/>
        <v>4935000</v>
      </c>
      <c r="FC121" s="42">
        <f t="shared" si="331"/>
        <v>5182000</v>
      </c>
      <c r="FD121" s="41">
        <f t="shared" si="343"/>
        <v>89960.9375</v>
      </c>
      <c r="FE121" s="41">
        <f t="shared" si="344"/>
        <v>32914.583333333336</v>
      </c>
      <c r="FF121" s="42">
        <f t="shared" si="332"/>
        <v>2659661</v>
      </c>
      <c r="FG121" s="42">
        <f t="shared" si="333"/>
        <v>2155747</v>
      </c>
      <c r="FH121" s="42">
        <f>IF(DM121="","",IF(DU121&gt;0,DU121,FB121-SUM($FD$6:FD121)+SUM($DU$6:DU121)))</f>
        <v>2275338.5416666642</v>
      </c>
      <c r="FI121" s="42">
        <f>IF(DM121="","",FC121-SUM($FE$6:FE121)+SUM($DV$6:DV121)-SUM($DW$6:DW121))</f>
        <v>3026252.9166666605</v>
      </c>
      <c r="FJ121" s="152">
        <f t="shared" si="334"/>
        <v>0.52402801802246957</v>
      </c>
      <c r="FN121" s="8"/>
      <c r="FO121" s="8"/>
      <c r="FP121" s="8"/>
      <c r="FQ121" s="8"/>
      <c r="FR121" s="8"/>
      <c r="FS121" s="8"/>
      <c r="FT121" s="8"/>
      <c r="FU121" s="8"/>
      <c r="GC121" s="68">
        <f t="shared" si="298"/>
        <v>116</v>
      </c>
      <c r="GD121" s="78">
        <f t="shared" si="299"/>
        <v>0</v>
      </c>
      <c r="GE121" s="309">
        <f t="shared" si="300"/>
        <v>0.45892747242291071</v>
      </c>
      <c r="GF121" s="78">
        <f t="shared" si="301"/>
        <v>0</v>
      </c>
      <c r="GG121" s="310">
        <f t="shared" si="302"/>
        <v>0.31250555307593425</v>
      </c>
      <c r="GH121" s="78">
        <f t="shared" si="303"/>
        <v>0</v>
      </c>
      <c r="GI121" s="310">
        <f t="shared" si="304"/>
        <v>3.3333333333333333E-2</v>
      </c>
      <c r="GJ121" s="311">
        <f t="shared" si="305"/>
        <v>0</v>
      </c>
      <c r="GK121" s="310">
        <f t="shared" si="306"/>
        <v>0.1371794871794918</v>
      </c>
      <c r="GL121" s="311">
        <f t="shared" si="307"/>
        <v>0</v>
      </c>
      <c r="GM121" s="310">
        <f t="shared" si="308"/>
        <v>0.51188256770781759</v>
      </c>
      <c r="HD121" s="13"/>
      <c r="HE121" s="24"/>
      <c r="HF121" s="13"/>
      <c r="HG121" s="13"/>
      <c r="HH121" s="13"/>
      <c r="HI121" s="13"/>
      <c r="HJ121" s="13"/>
      <c r="HK121" s="13"/>
      <c r="HL121" s="13"/>
      <c r="HM121" s="14"/>
      <c r="HN121" s="13"/>
      <c r="HO121" s="13"/>
    </row>
    <row r="122" spans="3:223" x14ac:dyDescent="0.2">
      <c r="C122" s="426">
        <f t="shared" si="243"/>
        <v>42917</v>
      </c>
      <c r="D122" s="155">
        <f t="shared" si="244"/>
        <v>54</v>
      </c>
      <c r="E122" s="155">
        <f t="shared" si="296"/>
        <v>12272520</v>
      </c>
      <c r="F122" s="155"/>
      <c r="G122" s="438">
        <f t="shared" si="297"/>
        <v>122596.73076923078</v>
      </c>
      <c r="I122" s="444">
        <f>IF(D122="","",'Mx FORECAST'!DX60)</f>
        <v>5815923.461538462</v>
      </c>
      <c r="J122" s="155">
        <f>IF(D122="","",'Mx FORECAST'!DP60)</f>
        <v>185400</v>
      </c>
      <c r="K122" s="155">
        <f>IF(D122="","",'Mx FORECAST'!DQ60)</f>
        <v>0</v>
      </c>
      <c r="M122" s="155">
        <f>IF(D122="","",'Mx FORECAST'!DR60)</f>
        <v>0</v>
      </c>
      <c r="O122" s="155">
        <f>IF(D122="","",'Mx FORECAST'!DS60)</f>
        <v>0</v>
      </c>
      <c r="Q122" s="155">
        <f>IF(D122="","",'Mx FORECAST'!DT60)</f>
        <v>0</v>
      </c>
      <c r="S122" s="155">
        <f>IF(D122="","",'Mx FORECAST'!DU60)</f>
        <v>0</v>
      </c>
      <c r="U122" s="155">
        <f>IF(D122="","",'Mx FORECAST'!DV60)</f>
        <v>0</v>
      </c>
      <c r="W122" s="540">
        <f>IF(D122="","",'Mx FORECAST'!DY60)</f>
        <v>6456596.538461538</v>
      </c>
      <c r="X122" s="540"/>
      <c r="Y122" s="437">
        <f>IF(D122="","",'Mx FORECAST'!DZ60)</f>
        <v>0.52610193655920201</v>
      </c>
      <c r="AD122" s="155"/>
      <c r="AF122" s="155"/>
      <c r="AH122" s="155"/>
      <c r="AJ122" s="155"/>
      <c r="AK122" s="8"/>
      <c r="AL122" s="8"/>
      <c r="AM122" s="8"/>
      <c r="AN122" s="8"/>
      <c r="AO122" s="8"/>
      <c r="AP122" s="8"/>
      <c r="AQ122" s="7"/>
      <c r="AR122" s="7"/>
      <c r="AS122" s="7"/>
      <c r="AT122" s="7"/>
      <c r="AU122" s="7"/>
      <c r="AV122" s="7"/>
      <c r="AW122" s="7"/>
      <c r="AX122" s="7"/>
      <c r="AY122" s="7"/>
      <c r="AZ122" s="8"/>
      <c r="BZ122" s="9"/>
      <c r="CA122" s="9"/>
      <c r="CB122" s="9"/>
      <c r="DM122" s="44">
        <f t="shared" si="335"/>
        <v>116</v>
      </c>
      <c r="DN122" s="41">
        <f t="shared" si="309"/>
        <v>12624583.5</v>
      </c>
      <c r="DO122" s="41">
        <f t="shared" si="336"/>
        <v>160895.21688034188</v>
      </c>
      <c r="DP122" s="42">
        <f t="shared" si="310"/>
        <v>0</v>
      </c>
      <c r="DQ122" s="42">
        <f t="shared" si="311"/>
        <v>0</v>
      </c>
      <c r="DR122" s="42">
        <f t="shared" si="312"/>
        <v>0</v>
      </c>
      <c r="DS122" s="42">
        <f t="shared" si="313"/>
        <v>0</v>
      </c>
      <c r="DT122" s="42">
        <f t="shared" si="314"/>
        <v>0</v>
      </c>
      <c r="DU122" s="42">
        <f t="shared" si="315"/>
        <v>0</v>
      </c>
      <c r="DV122" s="42">
        <f t="shared" si="316"/>
        <v>0</v>
      </c>
      <c r="DW122" s="42">
        <f t="shared" si="317"/>
        <v>0</v>
      </c>
      <c r="DX122" s="42">
        <f t="shared" si="318"/>
        <v>6830815.3039530162</v>
      </c>
      <c r="DY122" s="42">
        <f>IF(DM122="",DY121,DN122-SUM($DO$6:DO122)+SUM($DP$6:DV122)-SUM($DW$6:DW122))</f>
        <v>5793768.1960469838</v>
      </c>
      <c r="DZ122" s="43">
        <f t="shared" si="337"/>
        <v>0.45892747242291071</v>
      </c>
      <c r="EA122" s="43"/>
      <c r="EB122" s="43" t="str">
        <f t="shared" si="295"/>
        <v>True</v>
      </c>
      <c r="EC122" s="41">
        <f t="shared" si="286"/>
        <v>222480</v>
      </c>
      <c r="ED122" s="41">
        <f t="shared" si="287"/>
        <v>686673.49999999988</v>
      </c>
      <c r="EE122" s="41">
        <f t="shared" si="319"/>
        <v>902280</v>
      </c>
      <c r="EF122" s="41">
        <f t="shared" si="338"/>
        <v>12360</v>
      </c>
      <c r="EG122" s="42">
        <f t="shared" si="339"/>
        <v>9537.1319444444434</v>
      </c>
      <c r="EH122" s="42">
        <f t="shared" si="340"/>
        <v>6265.8333333333321</v>
      </c>
      <c r="EI122" s="42">
        <f t="shared" si="320"/>
        <v>98880</v>
      </c>
      <c r="EJ122" s="42">
        <f t="shared" si="321"/>
        <v>419634</v>
      </c>
      <c r="EK122" s="42">
        <f t="shared" si="322"/>
        <v>726837</v>
      </c>
      <c r="EL122" s="42">
        <f>IF(DM122="","",EC122-SUM($EF$6:EF122)+SUM($DP$6:DP122))</f>
        <v>123600.00000000047</v>
      </c>
      <c r="EM122" s="42">
        <f>IF(DM122="","",ED122-SUM($EG$6:EG122)+SUM($DQ$6:DQ122))</f>
        <v>267039.69444444205</v>
      </c>
      <c r="EN122" s="42">
        <f>IF(DM122="","",EE122-SUM($EH$6:EH122)+SUM($DR$6:DR122))</f>
        <v>175443.33333333279</v>
      </c>
      <c r="EO122" s="152">
        <f t="shared" si="323"/>
        <v>0.31250555307593425</v>
      </c>
      <c r="EP122" s="43"/>
      <c r="EQ122" s="42">
        <f t="shared" si="324"/>
        <v>448050</v>
      </c>
      <c r="ER122" s="42">
        <f t="shared" si="325"/>
        <v>248100</v>
      </c>
      <c r="ES122" s="42">
        <f t="shared" si="341"/>
        <v>3733.75</v>
      </c>
      <c r="ET122" s="42">
        <f t="shared" si="342"/>
        <v>6122.9807692307695</v>
      </c>
      <c r="EU122" s="42">
        <f t="shared" si="326"/>
        <v>433115</v>
      </c>
      <c r="EV122" s="42">
        <f t="shared" si="327"/>
        <v>214066</v>
      </c>
      <c r="EW122" s="42">
        <f>IF(DM122="","",IF(DS122&gt;0,DS122,EQ122-SUM($ES$6:ES122)+SUM($DS$6:DS122)))</f>
        <v>14935</v>
      </c>
      <c r="EX122" s="42">
        <f>IF(DM122="","",IF(DT122&gt;0,DT122,ER122-SUM($ET$6:ET122)+SUM($DT$6:DT122)))</f>
        <v>34034.230769231915</v>
      </c>
      <c r="EY122" s="43">
        <f t="shared" si="328"/>
        <v>0.1371794871794918</v>
      </c>
      <c r="EZ122" s="43">
        <f t="shared" si="329"/>
        <v>3.3333333333333333E-2</v>
      </c>
      <c r="FA122" s="43"/>
      <c r="FB122" s="42">
        <f t="shared" si="330"/>
        <v>4935000</v>
      </c>
      <c r="FC122" s="42">
        <f t="shared" si="331"/>
        <v>5182000</v>
      </c>
      <c r="FD122" s="41">
        <f t="shared" si="343"/>
        <v>89960.9375</v>
      </c>
      <c r="FE122" s="41">
        <f t="shared" si="344"/>
        <v>32914.583333333336</v>
      </c>
      <c r="FF122" s="42">
        <f t="shared" si="332"/>
        <v>2749622</v>
      </c>
      <c r="FG122" s="42">
        <f t="shared" si="333"/>
        <v>2188662</v>
      </c>
      <c r="FH122" s="42">
        <f>IF(DM122="","",IF(DU122&gt;0,DU122,FB122-SUM($FD$6:FD122)+SUM($DU$6:DU122)))</f>
        <v>2185377.6041666642</v>
      </c>
      <c r="FI122" s="42">
        <f>IF(DM122="","",FC122-SUM($FE$6:FE122)+SUM($DV$6:DV122)-SUM($DW$6:DW122))</f>
        <v>2993338.333333327</v>
      </c>
      <c r="FJ122" s="152">
        <f t="shared" si="334"/>
        <v>0.51188256770781759</v>
      </c>
      <c r="FN122" s="8"/>
      <c r="FO122" s="8"/>
      <c r="FP122" s="8"/>
      <c r="FQ122" s="8"/>
      <c r="FR122" s="8"/>
      <c r="FS122" s="8"/>
      <c r="FT122" s="8"/>
      <c r="FU122" s="8"/>
      <c r="GC122" s="68">
        <f t="shared" si="298"/>
        <v>117</v>
      </c>
      <c r="GD122" s="78">
        <f t="shared" si="299"/>
        <v>0</v>
      </c>
      <c r="GE122" s="309">
        <f t="shared" si="300"/>
        <v>0.44618287638294302</v>
      </c>
      <c r="GF122" s="78">
        <f t="shared" si="301"/>
        <v>0</v>
      </c>
      <c r="GG122" s="310">
        <f t="shared" si="302"/>
        <v>0.29695821706951842</v>
      </c>
      <c r="GH122" s="78">
        <f t="shared" si="303"/>
        <v>0</v>
      </c>
      <c r="GI122" s="310">
        <f t="shared" si="304"/>
        <v>2.5000000000000001E-2</v>
      </c>
      <c r="GJ122" s="311">
        <f t="shared" si="305"/>
        <v>0</v>
      </c>
      <c r="GK122" s="310">
        <f t="shared" si="306"/>
        <v>0.11250000000000469</v>
      </c>
      <c r="GL122" s="311">
        <f t="shared" si="307"/>
        <v>0</v>
      </c>
      <c r="GM122" s="310">
        <f t="shared" si="308"/>
        <v>0.49973711739316573</v>
      </c>
      <c r="HD122" s="13"/>
      <c r="HE122" s="24"/>
      <c r="HF122" s="13"/>
      <c r="HG122" s="13"/>
      <c r="HH122" s="13"/>
      <c r="HI122" s="13"/>
      <c r="HJ122" s="13"/>
      <c r="HK122" s="13"/>
      <c r="HL122" s="13"/>
      <c r="HM122" s="14"/>
      <c r="HN122" s="13"/>
      <c r="HO122" s="13"/>
    </row>
    <row r="123" spans="3:223" x14ac:dyDescent="0.2">
      <c r="C123" s="426">
        <f t="shared" si="243"/>
        <v>42948</v>
      </c>
      <c r="D123" s="155">
        <f t="shared" si="244"/>
        <v>55</v>
      </c>
      <c r="E123" s="155">
        <f t="shared" si="296"/>
        <v>12307520</v>
      </c>
      <c r="F123" s="155"/>
      <c r="G123" s="438">
        <f t="shared" si="297"/>
        <v>124541.17521367522</v>
      </c>
      <c r="I123" s="444">
        <f>IF(D123="","",'Mx FORECAST'!DX61)</f>
        <v>5940464.636752137</v>
      </c>
      <c r="J123" s="155">
        <f>IF(D123="","",'Mx FORECAST'!DP61)</f>
        <v>0</v>
      </c>
      <c r="K123" s="155">
        <f>IF(D123="","",'Mx FORECAST'!DQ61)</f>
        <v>0</v>
      </c>
      <c r="M123" s="155">
        <f>IF(D123="","",'Mx FORECAST'!DR61)</f>
        <v>0</v>
      </c>
      <c r="O123" s="155">
        <f>IF(D123="","",'Mx FORECAST'!DS61)</f>
        <v>0</v>
      </c>
      <c r="Q123" s="155">
        <f>IF(D123="","",'Mx FORECAST'!DT61)</f>
        <v>0</v>
      </c>
      <c r="S123" s="155">
        <f>IF(D123="","",'Mx FORECAST'!DU61)</f>
        <v>0</v>
      </c>
      <c r="U123" s="155">
        <f>IF(D123="","",'Mx FORECAST'!DV61)</f>
        <v>0</v>
      </c>
      <c r="W123" s="540">
        <f>IF(D123="","",'Mx FORECAST'!DY61)</f>
        <v>6367055.363247863</v>
      </c>
      <c r="X123" s="540"/>
      <c r="Y123" s="437">
        <f>IF(D123="","",'Mx FORECAST'!DZ61)</f>
        <v>0.51733049089076133</v>
      </c>
      <c r="AD123" s="155"/>
      <c r="AF123" s="155"/>
      <c r="AH123" s="155"/>
      <c r="AJ123" s="155"/>
      <c r="AK123" s="8"/>
      <c r="AL123" s="8"/>
      <c r="AM123" s="8"/>
      <c r="AN123" s="8"/>
      <c r="AO123" s="8"/>
      <c r="AP123" s="8"/>
      <c r="AQ123" s="7"/>
      <c r="AR123" s="7"/>
      <c r="AS123" s="7"/>
      <c r="AT123" s="7"/>
      <c r="AU123" s="7"/>
      <c r="AV123" s="7"/>
      <c r="AW123" s="7"/>
      <c r="AX123" s="7"/>
      <c r="AY123" s="7"/>
      <c r="AZ123" s="8"/>
      <c r="BZ123" s="9"/>
      <c r="CA123" s="9"/>
      <c r="CB123" s="9"/>
      <c r="DM123" s="44">
        <f t="shared" si="335"/>
        <v>117</v>
      </c>
      <c r="DN123" s="41">
        <f t="shared" si="309"/>
        <v>12624583.5</v>
      </c>
      <c r="DO123" s="41">
        <f t="shared" si="336"/>
        <v>160895.21688034188</v>
      </c>
      <c r="DP123" s="42">
        <f t="shared" si="310"/>
        <v>0</v>
      </c>
      <c r="DQ123" s="42">
        <f t="shared" si="311"/>
        <v>0</v>
      </c>
      <c r="DR123" s="42">
        <f t="shared" si="312"/>
        <v>0</v>
      </c>
      <c r="DS123" s="42">
        <f t="shared" si="313"/>
        <v>0</v>
      </c>
      <c r="DT123" s="42">
        <f t="shared" si="314"/>
        <v>0</v>
      </c>
      <c r="DU123" s="42">
        <f t="shared" si="315"/>
        <v>0</v>
      </c>
      <c r="DV123" s="42">
        <f t="shared" si="316"/>
        <v>0</v>
      </c>
      <c r="DW123" s="42">
        <f t="shared" si="317"/>
        <v>0</v>
      </c>
      <c r="DX123" s="42">
        <f t="shared" si="318"/>
        <v>6991710.5208333582</v>
      </c>
      <c r="DY123" s="42">
        <f>IF(DM123="",DY122,DN123-SUM($DO$6:DO123)+SUM($DP$6:DV123)-SUM($DW$6:DW123))</f>
        <v>5632872.9791666418</v>
      </c>
      <c r="DZ123" s="43">
        <f t="shared" si="337"/>
        <v>0.44618287638294302</v>
      </c>
      <c r="EA123" s="43"/>
      <c r="EB123" s="43" t="str">
        <f t="shared" si="295"/>
        <v>True</v>
      </c>
      <c r="EC123" s="41">
        <f t="shared" si="286"/>
        <v>222480</v>
      </c>
      <c r="ED123" s="41">
        <f t="shared" si="287"/>
        <v>686673.49999999988</v>
      </c>
      <c r="EE123" s="41">
        <f t="shared" si="319"/>
        <v>902280</v>
      </c>
      <c r="EF123" s="41">
        <f t="shared" si="338"/>
        <v>12360</v>
      </c>
      <c r="EG123" s="42">
        <f t="shared" si="339"/>
        <v>9537.1319444444434</v>
      </c>
      <c r="EH123" s="42">
        <f t="shared" si="340"/>
        <v>6265.8333333333321</v>
      </c>
      <c r="EI123" s="42">
        <f t="shared" si="320"/>
        <v>111240</v>
      </c>
      <c r="EJ123" s="42">
        <f t="shared" si="321"/>
        <v>429171</v>
      </c>
      <c r="EK123" s="42">
        <f t="shared" si="322"/>
        <v>733103</v>
      </c>
      <c r="EL123" s="42">
        <f>IF(DM123="","",EC123-SUM($EF$6:EF123)+SUM($DP$6:DP123))</f>
        <v>111240.00000000047</v>
      </c>
      <c r="EM123" s="42">
        <f>IF(DM123="","",ED123-SUM($EG$6:EG123)+SUM($DQ$6:DQ123))</f>
        <v>257502.56249999756</v>
      </c>
      <c r="EN123" s="42">
        <f>IF(DM123="","",EE123-SUM($EH$6:EH123)+SUM($DR$6:DR123))</f>
        <v>169177.49999999942</v>
      </c>
      <c r="EO123" s="152">
        <f t="shared" si="323"/>
        <v>0.29695821706951842</v>
      </c>
      <c r="EP123" s="43"/>
      <c r="EQ123" s="42">
        <f t="shared" si="324"/>
        <v>448050</v>
      </c>
      <c r="ER123" s="42">
        <f t="shared" si="325"/>
        <v>248100</v>
      </c>
      <c r="ES123" s="42">
        <f t="shared" si="341"/>
        <v>3733.75</v>
      </c>
      <c r="ET123" s="42">
        <f t="shared" si="342"/>
        <v>6122.9807692307695</v>
      </c>
      <c r="EU123" s="42">
        <f t="shared" si="326"/>
        <v>436849</v>
      </c>
      <c r="EV123" s="42">
        <f t="shared" si="327"/>
        <v>220189</v>
      </c>
      <c r="EW123" s="42">
        <f>IF(DM123="","",IF(DS123&gt;0,DS123,EQ123-SUM($ES$6:ES123)+SUM($DS$6:DS123)))</f>
        <v>11201.25</v>
      </c>
      <c r="EX123" s="42">
        <f>IF(DM123="","",IF(DT123&gt;0,DT123,ER123-SUM($ET$6:ET123)+SUM($DT$6:DT123)))</f>
        <v>27911.250000001164</v>
      </c>
      <c r="EY123" s="43">
        <f t="shared" si="328"/>
        <v>0.11250000000000469</v>
      </c>
      <c r="EZ123" s="43">
        <f t="shared" si="329"/>
        <v>2.5000000000000001E-2</v>
      </c>
      <c r="FA123" s="43"/>
      <c r="FB123" s="42">
        <f t="shared" si="330"/>
        <v>4935000</v>
      </c>
      <c r="FC123" s="42">
        <f t="shared" si="331"/>
        <v>5182000</v>
      </c>
      <c r="FD123" s="41">
        <f t="shared" si="343"/>
        <v>89960.9375</v>
      </c>
      <c r="FE123" s="41">
        <f t="shared" si="344"/>
        <v>32914.583333333336</v>
      </c>
      <c r="FF123" s="42">
        <f t="shared" si="332"/>
        <v>2839583</v>
      </c>
      <c r="FG123" s="42">
        <f t="shared" si="333"/>
        <v>2221576</v>
      </c>
      <c r="FH123" s="42">
        <f>IF(DM123="","",IF(DU123&gt;0,DU123,FB123-SUM($FD$6:FD123)+SUM($DU$6:DU123)))</f>
        <v>2095416.6666666642</v>
      </c>
      <c r="FI123" s="42">
        <f>IF(DM123="","",FC123-SUM($FE$6:FE123)+SUM($DV$6:DV123)-SUM($DW$6:DW123))</f>
        <v>2960423.7499999935</v>
      </c>
      <c r="FJ123" s="152">
        <f t="shared" si="334"/>
        <v>0.49973711739316573</v>
      </c>
      <c r="FN123" s="8"/>
      <c r="FO123" s="8"/>
      <c r="FP123" s="8"/>
      <c r="FQ123" s="8"/>
      <c r="FR123" s="8"/>
      <c r="FS123" s="8"/>
      <c r="FT123" s="8"/>
      <c r="FU123" s="8"/>
      <c r="GC123" s="68">
        <f t="shared" si="298"/>
        <v>118</v>
      </c>
      <c r="GD123" s="78">
        <f t="shared" si="299"/>
        <v>0</v>
      </c>
      <c r="GE123" s="309">
        <f t="shared" si="300"/>
        <v>0.43343828034297527</v>
      </c>
      <c r="GF123" s="78">
        <f t="shared" si="301"/>
        <v>0</v>
      </c>
      <c r="GG123" s="310">
        <f t="shared" si="302"/>
        <v>0.28141088106310252</v>
      </c>
      <c r="GH123" s="78">
        <f t="shared" si="303"/>
        <v>0</v>
      </c>
      <c r="GI123" s="310">
        <f t="shared" si="304"/>
        <v>1.6666666666666666E-2</v>
      </c>
      <c r="GJ123" s="311">
        <f t="shared" si="305"/>
        <v>0</v>
      </c>
      <c r="GK123" s="310">
        <f t="shared" si="306"/>
        <v>8.7820512820517588E-2</v>
      </c>
      <c r="GL123" s="311">
        <f t="shared" si="307"/>
        <v>0</v>
      </c>
      <c r="GM123" s="310">
        <f t="shared" si="308"/>
        <v>0.48759166707851387</v>
      </c>
      <c r="HD123" s="13"/>
      <c r="HE123" s="24"/>
      <c r="HF123" s="13"/>
      <c r="HG123" s="13"/>
      <c r="HH123" s="13"/>
      <c r="HI123" s="13"/>
      <c r="HJ123" s="13"/>
      <c r="HK123" s="13"/>
      <c r="HL123" s="13"/>
      <c r="HM123" s="14"/>
      <c r="HN123" s="13"/>
      <c r="HO123" s="13"/>
    </row>
    <row r="124" spans="3:223" x14ac:dyDescent="0.2">
      <c r="C124" s="426">
        <f t="shared" si="243"/>
        <v>42979</v>
      </c>
      <c r="D124" s="155">
        <f t="shared" si="244"/>
        <v>56</v>
      </c>
      <c r="E124" s="155">
        <f t="shared" si="296"/>
        <v>12307520</v>
      </c>
      <c r="F124" s="155"/>
      <c r="G124" s="438">
        <f t="shared" si="297"/>
        <v>124541.17521367522</v>
      </c>
      <c r="I124" s="444">
        <f>IF(D124="","",'Mx FORECAST'!DX62)</f>
        <v>6065005.811965812</v>
      </c>
      <c r="J124" s="155">
        <f>IF(D124="","",'Mx FORECAST'!DP62)</f>
        <v>0</v>
      </c>
      <c r="K124" s="155">
        <f>IF(D124="","",'Mx FORECAST'!DQ62)</f>
        <v>0</v>
      </c>
      <c r="M124" s="155">
        <f>IF(D124="","",'Mx FORECAST'!DR62)</f>
        <v>0</v>
      </c>
      <c r="O124" s="155">
        <f>IF(D124="","",'Mx FORECAST'!DS62)</f>
        <v>0</v>
      </c>
      <c r="Q124" s="155">
        <f>IF(D124="","",'Mx FORECAST'!DT62)</f>
        <v>0</v>
      </c>
      <c r="S124" s="155">
        <f>IF(D124="","",'Mx FORECAST'!DU62)</f>
        <v>0</v>
      </c>
      <c r="U124" s="155">
        <f>IF(D124="","",'Mx FORECAST'!DV62)</f>
        <v>0</v>
      </c>
      <c r="W124" s="540">
        <f>IF(D124="","",'Mx FORECAST'!DY62)</f>
        <v>6242514.188034188</v>
      </c>
      <c r="X124" s="540"/>
      <c r="Y124" s="437">
        <f>IF(D124="","",'Mx FORECAST'!DZ62)</f>
        <v>0.50721137873708011</v>
      </c>
      <c r="AD124" s="155"/>
      <c r="AF124" s="155"/>
      <c r="AH124" s="155"/>
      <c r="AJ124" s="155"/>
      <c r="AK124" s="8"/>
      <c r="AL124" s="8"/>
      <c r="AM124" s="8"/>
      <c r="AN124" s="8"/>
      <c r="AO124" s="8"/>
      <c r="AP124" s="8"/>
      <c r="AQ124" s="7"/>
      <c r="AR124" s="7"/>
      <c r="AS124" s="7"/>
      <c r="AT124" s="7"/>
      <c r="AU124" s="7"/>
      <c r="AV124" s="7"/>
      <c r="AW124" s="7"/>
      <c r="AX124" s="7"/>
      <c r="AY124" s="7"/>
      <c r="AZ124" s="8"/>
      <c r="BZ124" s="9"/>
      <c r="CA124" s="9"/>
      <c r="CB124" s="9"/>
      <c r="DM124" s="44">
        <f t="shared" si="335"/>
        <v>118</v>
      </c>
      <c r="DN124" s="41">
        <f t="shared" si="309"/>
        <v>12624583.5</v>
      </c>
      <c r="DO124" s="41">
        <f t="shared" si="336"/>
        <v>160895.21688034188</v>
      </c>
      <c r="DP124" s="42">
        <f t="shared" si="310"/>
        <v>0</v>
      </c>
      <c r="DQ124" s="42">
        <f t="shared" si="311"/>
        <v>0</v>
      </c>
      <c r="DR124" s="42">
        <f t="shared" si="312"/>
        <v>0</v>
      </c>
      <c r="DS124" s="42">
        <f t="shared" si="313"/>
        <v>0</v>
      </c>
      <c r="DT124" s="42">
        <f t="shared" si="314"/>
        <v>0</v>
      </c>
      <c r="DU124" s="42">
        <f t="shared" si="315"/>
        <v>0</v>
      </c>
      <c r="DV124" s="42">
        <f t="shared" si="316"/>
        <v>0</v>
      </c>
      <c r="DW124" s="42">
        <f t="shared" si="317"/>
        <v>0</v>
      </c>
      <c r="DX124" s="42">
        <f t="shared" si="318"/>
        <v>7152605.7377137002</v>
      </c>
      <c r="DY124" s="42">
        <f>IF(DM124="",DY123,DN124-SUM($DO$6:DO124)+SUM($DP$6:DV124)-SUM($DW$6:DW124))</f>
        <v>5471977.7622862998</v>
      </c>
      <c r="DZ124" s="43">
        <f t="shared" si="337"/>
        <v>0.43343828034297527</v>
      </c>
      <c r="EA124" s="43"/>
      <c r="EB124" s="43" t="str">
        <f t="shared" si="295"/>
        <v>True</v>
      </c>
      <c r="EC124" s="41">
        <f t="shared" si="286"/>
        <v>222480</v>
      </c>
      <c r="ED124" s="41">
        <f t="shared" si="287"/>
        <v>686673.49999999988</v>
      </c>
      <c r="EE124" s="41">
        <f t="shared" si="319"/>
        <v>902280</v>
      </c>
      <c r="EF124" s="41">
        <f t="shared" si="338"/>
        <v>12360</v>
      </c>
      <c r="EG124" s="42">
        <f t="shared" si="339"/>
        <v>9537.1319444444434</v>
      </c>
      <c r="EH124" s="42">
        <f t="shared" si="340"/>
        <v>6265.8333333333321</v>
      </c>
      <c r="EI124" s="42">
        <f t="shared" si="320"/>
        <v>123600</v>
      </c>
      <c r="EJ124" s="42">
        <f t="shared" si="321"/>
        <v>438708</v>
      </c>
      <c r="EK124" s="42">
        <f t="shared" si="322"/>
        <v>739368</v>
      </c>
      <c r="EL124" s="42">
        <f>IF(DM124="","",EC124-SUM($EF$6:EF124)+SUM($DP$6:DP124))</f>
        <v>98880.000000000466</v>
      </c>
      <c r="EM124" s="42">
        <f>IF(DM124="","",ED124-SUM($EG$6:EG124)+SUM($DQ$6:DQ124))</f>
        <v>247965.43055555306</v>
      </c>
      <c r="EN124" s="42">
        <f>IF(DM124="","",EE124-SUM($EH$6:EH124)+SUM($DR$6:DR124))</f>
        <v>162911.66666666605</v>
      </c>
      <c r="EO124" s="152">
        <f t="shared" si="323"/>
        <v>0.28141088106310252</v>
      </c>
      <c r="EP124" s="43"/>
      <c r="EQ124" s="42">
        <f t="shared" si="324"/>
        <v>448050</v>
      </c>
      <c r="ER124" s="42">
        <f t="shared" si="325"/>
        <v>248100</v>
      </c>
      <c r="ES124" s="42">
        <f t="shared" si="341"/>
        <v>3733.75</v>
      </c>
      <c r="ET124" s="42">
        <f t="shared" si="342"/>
        <v>6122.9807692307695</v>
      </c>
      <c r="EU124" s="42">
        <f t="shared" si="326"/>
        <v>440583</v>
      </c>
      <c r="EV124" s="42">
        <f t="shared" si="327"/>
        <v>226312</v>
      </c>
      <c r="EW124" s="42">
        <f>IF(DM124="","",IF(DS124&gt;0,DS124,EQ124-SUM($ES$6:ES124)+SUM($DS$6:DS124)))</f>
        <v>7467.5</v>
      </c>
      <c r="EX124" s="42">
        <f>IF(DM124="","",IF(DT124&gt;0,DT124,ER124-SUM($ET$6:ET124)+SUM($DT$6:DT124)))</f>
        <v>21788.269230770413</v>
      </c>
      <c r="EY124" s="43">
        <f t="shared" si="328"/>
        <v>8.7820512820517588E-2</v>
      </c>
      <c r="EZ124" s="43">
        <f t="shared" si="329"/>
        <v>1.6666666666666666E-2</v>
      </c>
      <c r="FA124" s="43"/>
      <c r="FB124" s="42">
        <f t="shared" si="330"/>
        <v>4935000</v>
      </c>
      <c r="FC124" s="42">
        <f t="shared" si="331"/>
        <v>5182000</v>
      </c>
      <c r="FD124" s="41">
        <f t="shared" si="343"/>
        <v>89960.9375</v>
      </c>
      <c r="FE124" s="41">
        <f t="shared" si="344"/>
        <v>32914.583333333336</v>
      </c>
      <c r="FF124" s="42">
        <f t="shared" si="332"/>
        <v>2929544</v>
      </c>
      <c r="FG124" s="42">
        <f t="shared" si="333"/>
        <v>2254491</v>
      </c>
      <c r="FH124" s="42">
        <f>IF(DM124="","",IF(DU124&gt;0,DU124,FB124-SUM($FD$6:FD124)+SUM($DU$6:DU124)))</f>
        <v>2005455.7291666642</v>
      </c>
      <c r="FI124" s="42">
        <f>IF(DM124="","",FC124-SUM($FE$6:FE124)+SUM($DV$6:DV124)-SUM($DW$6:DW124))</f>
        <v>2927509.16666666</v>
      </c>
      <c r="FJ124" s="152">
        <f t="shared" si="334"/>
        <v>0.48759166707851387</v>
      </c>
      <c r="FN124" s="8"/>
      <c r="FO124" s="8"/>
      <c r="FP124" s="8"/>
      <c r="FQ124" s="8"/>
      <c r="FR124" s="8"/>
      <c r="FS124" s="8"/>
      <c r="FT124" s="8"/>
      <c r="FU124" s="8"/>
      <c r="GC124" s="68">
        <f t="shared" si="298"/>
        <v>119</v>
      </c>
      <c r="GD124" s="78">
        <f t="shared" si="299"/>
        <v>0</v>
      </c>
      <c r="GE124" s="309">
        <f t="shared" si="300"/>
        <v>0.42069368430300752</v>
      </c>
      <c r="GF124" s="78">
        <f t="shared" si="301"/>
        <v>0</v>
      </c>
      <c r="GG124" s="310">
        <f t="shared" si="302"/>
        <v>0.26586354505668669</v>
      </c>
      <c r="GH124" s="78">
        <f t="shared" si="303"/>
        <v>0</v>
      </c>
      <c r="GI124" s="310">
        <f t="shared" si="304"/>
        <v>8.3333333333333332E-3</v>
      </c>
      <c r="GJ124" s="311">
        <f t="shared" si="305"/>
        <v>0</v>
      </c>
      <c r="GK124" s="310">
        <f t="shared" si="306"/>
        <v>6.3141025641030482E-2</v>
      </c>
      <c r="GL124" s="311">
        <f t="shared" si="307"/>
        <v>0</v>
      </c>
      <c r="GM124" s="310">
        <f t="shared" si="308"/>
        <v>0.4754462167638619</v>
      </c>
      <c r="HD124" s="13"/>
      <c r="HE124" s="24"/>
      <c r="HF124" s="13"/>
      <c r="HG124" s="13"/>
      <c r="HH124" s="13"/>
      <c r="HI124" s="13"/>
      <c r="HJ124" s="13"/>
      <c r="HK124" s="13"/>
      <c r="HL124" s="13"/>
      <c r="HM124" s="14"/>
      <c r="HN124" s="13"/>
      <c r="HO124" s="13"/>
    </row>
    <row r="125" spans="3:223" x14ac:dyDescent="0.2">
      <c r="C125" s="426">
        <f t="shared" si="243"/>
        <v>43009</v>
      </c>
      <c r="D125" s="155">
        <f t="shared" si="244"/>
        <v>57</v>
      </c>
      <c r="E125" s="155">
        <f t="shared" si="296"/>
        <v>12307520</v>
      </c>
      <c r="F125" s="155"/>
      <c r="G125" s="438">
        <f t="shared" si="297"/>
        <v>124541.17521367522</v>
      </c>
      <c r="I125" s="444">
        <f>IF(D125="","",'Mx FORECAST'!DX63)</f>
        <v>6189546.987179487</v>
      </c>
      <c r="J125" s="155">
        <f>IF(D125="","",'Mx FORECAST'!DP63)</f>
        <v>0</v>
      </c>
      <c r="K125" s="155">
        <f>IF(D125="","",'Mx FORECAST'!DQ63)</f>
        <v>0</v>
      </c>
      <c r="M125" s="155">
        <f>IF(D125="","",'Mx FORECAST'!DR63)</f>
        <v>0</v>
      </c>
      <c r="O125" s="155">
        <f>IF(D125="","",'Mx FORECAST'!DS63)</f>
        <v>0</v>
      </c>
      <c r="Q125" s="155">
        <f>IF(D125="","",'Mx FORECAST'!DT63)</f>
        <v>0</v>
      </c>
      <c r="S125" s="155">
        <f>IF(D125="","",'Mx FORECAST'!DU63)</f>
        <v>0</v>
      </c>
      <c r="U125" s="155">
        <f>IF(D125="","",'Mx FORECAST'!DV63)</f>
        <v>0</v>
      </c>
      <c r="W125" s="540">
        <f>IF(D125="","",'Mx FORECAST'!DY63)</f>
        <v>6117973.012820513</v>
      </c>
      <c r="X125" s="540"/>
      <c r="Y125" s="437">
        <f>IF(D125="","",'Mx FORECAST'!DZ63)</f>
        <v>0.49709226658339883</v>
      </c>
      <c r="AD125" s="155"/>
      <c r="AF125" s="155"/>
      <c r="AH125" s="155"/>
      <c r="AJ125" s="155"/>
      <c r="AK125" s="8"/>
      <c r="AL125" s="8"/>
      <c r="AM125" s="8"/>
      <c r="AN125" s="8"/>
      <c r="AO125" s="8"/>
      <c r="AP125" s="8"/>
      <c r="AQ125" s="7"/>
      <c r="AR125" s="7"/>
      <c r="AS125" s="7"/>
      <c r="AT125" s="7"/>
      <c r="AU125" s="7"/>
      <c r="AV125" s="7"/>
      <c r="AW125" s="7"/>
      <c r="AX125" s="7"/>
      <c r="AY125" s="7"/>
      <c r="AZ125" s="8"/>
      <c r="BZ125" s="9"/>
      <c r="CA125" s="9"/>
      <c r="CB125" s="9"/>
      <c r="DM125" s="44">
        <f t="shared" si="335"/>
        <v>119</v>
      </c>
      <c r="DN125" s="41">
        <f t="shared" si="309"/>
        <v>12624583.5</v>
      </c>
      <c r="DO125" s="41">
        <f t="shared" si="336"/>
        <v>160895.21688034188</v>
      </c>
      <c r="DP125" s="42">
        <f t="shared" si="310"/>
        <v>0</v>
      </c>
      <c r="DQ125" s="42">
        <f t="shared" si="311"/>
        <v>0</v>
      </c>
      <c r="DR125" s="42">
        <f t="shared" si="312"/>
        <v>0</v>
      </c>
      <c r="DS125" s="42">
        <f t="shared" si="313"/>
        <v>0</v>
      </c>
      <c r="DT125" s="42">
        <f t="shared" si="314"/>
        <v>0</v>
      </c>
      <c r="DU125" s="42">
        <f t="shared" si="315"/>
        <v>0</v>
      </c>
      <c r="DV125" s="42">
        <f t="shared" si="316"/>
        <v>0</v>
      </c>
      <c r="DW125" s="42">
        <f t="shared" si="317"/>
        <v>0</v>
      </c>
      <c r="DX125" s="42">
        <f t="shared" si="318"/>
        <v>7313500.9545940422</v>
      </c>
      <c r="DY125" s="42">
        <f>IF(DM125="",DY124,DN125-SUM($DO$6:DO125)+SUM($DP$6:DV125)-SUM($DW$6:DW125))</f>
        <v>5311082.5454059578</v>
      </c>
      <c r="DZ125" s="43">
        <f t="shared" si="337"/>
        <v>0.42069368430300752</v>
      </c>
      <c r="EA125" s="43"/>
      <c r="EB125" s="43" t="str">
        <f t="shared" si="295"/>
        <v>True</v>
      </c>
      <c r="EC125" s="41">
        <f t="shared" si="286"/>
        <v>222480</v>
      </c>
      <c r="ED125" s="41">
        <f t="shared" si="287"/>
        <v>686673.49999999988</v>
      </c>
      <c r="EE125" s="41">
        <f t="shared" si="319"/>
        <v>902280</v>
      </c>
      <c r="EF125" s="41">
        <f t="shared" si="338"/>
        <v>12360</v>
      </c>
      <c r="EG125" s="42">
        <f t="shared" si="339"/>
        <v>9537.1319444444434</v>
      </c>
      <c r="EH125" s="42">
        <f t="shared" si="340"/>
        <v>6265.8333333333321</v>
      </c>
      <c r="EI125" s="42">
        <f t="shared" si="320"/>
        <v>135960</v>
      </c>
      <c r="EJ125" s="42">
        <f t="shared" si="321"/>
        <v>448245</v>
      </c>
      <c r="EK125" s="42">
        <f t="shared" si="322"/>
        <v>745634</v>
      </c>
      <c r="EL125" s="42">
        <f>IF(DM125="","",EC125-SUM($EF$6:EF125)+SUM($DP$6:DP125))</f>
        <v>86520.000000000466</v>
      </c>
      <c r="EM125" s="42">
        <f>IF(DM125="","",ED125-SUM($EG$6:EG125)+SUM($DQ$6:DQ125))</f>
        <v>238428.29861110856</v>
      </c>
      <c r="EN125" s="42">
        <f>IF(DM125="","",EE125-SUM($EH$6:EH125)+SUM($DR$6:DR125))</f>
        <v>156645.83333333267</v>
      </c>
      <c r="EO125" s="152">
        <f t="shared" si="323"/>
        <v>0.26586354505668669</v>
      </c>
      <c r="EP125" s="43"/>
      <c r="EQ125" s="42">
        <f t="shared" si="324"/>
        <v>448050</v>
      </c>
      <c r="ER125" s="42">
        <f t="shared" si="325"/>
        <v>248100</v>
      </c>
      <c r="ES125" s="42">
        <f t="shared" si="341"/>
        <v>3733.75</v>
      </c>
      <c r="ET125" s="42">
        <f t="shared" si="342"/>
        <v>6122.9807692307695</v>
      </c>
      <c r="EU125" s="42">
        <f t="shared" si="326"/>
        <v>444316</v>
      </c>
      <c r="EV125" s="42">
        <f t="shared" si="327"/>
        <v>232435</v>
      </c>
      <c r="EW125" s="42">
        <f>IF(DM125="","",IF(DS125&gt;0,DS125,EQ125-SUM($ES$6:ES125)+SUM($DS$6:DS125)))</f>
        <v>3733.75</v>
      </c>
      <c r="EX125" s="42">
        <f>IF(DM125="","",IF(DT125&gt;0,DT125,ER125-SUM($ET$6:ET125)+SUM($DT$6:DT125)))</f>
        <v>15665.288461539662</v>
      </c>
      <c r="EY125" s="43">
        <f t="shared" si="328"/>
        <v>6.3141025641030482E-2</v>
      </c>
      <c r="EZ125" s="43">
        <f t="shared" si="329"/>
        <v>8.3333333333333332E-3</v>
      </c>
      <c r="FA125" s="43"/>
      <c r="FB125" s="42">
        <f t="shared" si="330"/>
        <v>4935000</v>
      </c>
      <c r="FC125" s="42">
        <f t="shared" si="331"/>
        <v>5182000</v>
      </c>
      <c r="FD125" s="41">
        <f t="shared" si="343"/>
        <v>89960.9375</v>
      </c>
      <c r="FE125" s="41">
        <f t="shared" si="344"/>
        <v>32914.583333333336</v>
      </c>
      <c r="FF125" s="42">
        <f t="shared" si="332"/>
        <v>3019505</v>
      </c>
      <c r="FG125" s="42">
        <f t="shared" si="333"/>
        <v>2287405</v>
      </c>
      <c r="FH125" s="42">
        <f>IF(DM125="","",IF(DU125&gt;0,DU125,FB125-SUM($FD$6:FD125)+SUM($DU$6:DU125)))</f>
        <v>1915494.7916666642</v>
      </c>
      <c r="FI125" s="42">
        <f>IF(DM125="","",FC125-SUM($FE$6:FE125)+SUM($DV$6:DV125)-SUM($DW$6:DW125))</f>
        <v>2894594.5833333265</v>
      </c>
      <c r="FJ125" s="152">
        <f t="shared" si="334"/>
        <v>0.4754462167638619</v>
      </c>
      <c r="FN125" s="8"/>
      <c r="FO125" s="8"/>
      <c r="FP125" s="8"/>
      <c r="FQ125" s="8"/>
      <c r="FR125" s="8"/>
      <c r="FS125" s="8"/>
      <c r="FT125" s="8"/>
      <c r="FU125" s="8"/>
      <c r="GC125" s="68">
        <f t="shared" si="298"/>
        <v>120</v>
      </c>
      <c r="GD125" s="78">
        <f t="shared" si="299"/>
        <v>448050</v>
      </c>
      <c r="GE125" s="309">
        <f t="shared" si="300"/>
        <v>0.44343936800177336</v>
      </c>
      <c r="GF125" s="78">
        <f t="shared" si="301"/>
        <v>0</v>
      </c>
      <c r="GG125" s="310">
        <f t="shared" si="302"/>
        <v>0.25031620905027085</v>
      </c>
      <c r="GH125" s="78">
        <f t="shared" si="303"/>
        <v>448050</v>
      </c>
      <c r="GI125" s="310">
        <f t="shared" si="304"/>
        <v>1</v>
      </c>
      <c r="GJ125" s="311">
        <f t="shared" si="305"/>
        <v>0</v>
      </c>
      <c r="GK125" s="310">
        <f t="shared" si="306"/>
        <v>3.8461538461543369E-2</v>
      </c>
      <c r="GL125" s="311">
        <f t="shared" si="307"/>
        <v>0</v>
      </c>
      <c r="GM125" s="310">
        <f t="shared" si="308"/>
        <v>0.46330076644920992</v>
      </c>
      <c r="HD125" s="13"/>
      <c r="HE125" s="24"/>
      <c r="HF125" s="13"/>
      <c r="HG125" s="13"/>
      <c r="HH125" s="13"/>
      <c r="HI125" s="13"/>
      <c r="HJ125" s="13"/>
      <c r="HK125" s="13"/>
      <c r="HL125" s="13"/>
      <c r="HM125" s="14"/>
      <c r="HN125" s="13"/>
      <c r="HO125" s="13"/>
    </row>
    <row r="126" spans="3:223" x14ac:dyDescent="0.2">
      <c r="C126" s="426">
        <f t="shared" si="243"/>
        <v>43040</v>
      </c>
      <c r="D126" s="155">
        <f t="shared" si="244"/>
        <v>58</v>
      </c>
      <c r="E126" s="155">
        <f t="shared" si="296"/>
        <v>12307520</v>
      </c>
      <c r="F126" s="155"/>
      <c r="G126" s="438">
        <f t="shared" si="297"/>
        <v>124541.17521367522</v>
      </c>
      <c r="I126" s="444">
        <f>IF(D126="","",'Mx FORECAST'!DX64)</f>
        <v>6314088.162393162</v>
      </c>
      <c r="J126" s="155">
        <f>IF(D126="","",'Mx FORECAST'!DP64)</f>
        <v>0</v>
      </c>
      <c r="K126" s="155">
        <f>IF(D126="","",'Mx FORECAST'!DQ64)</f>
        <v>0</v>
      </c>
      <c r="M126" s="155">
        <f>IF(D126="","",'Mx FORECAST'!DR64)</f>
        <v>0</v>
      </c>
      <c r="O126" s="155">
        <f>IF(D126="","",'Mx FORECAST'!DS64)</f>
        <v>0</v>
      </c>
      <c r="Q126" s="155">
        <f>IF(D126="","",'Mx FORECAST'!DT64)</f>
        <v>0</v>
      </c>
      <c r="S126" s="155">
        <f>IF(D126="","",'Mx FORECAST'!DU64)</f>
        <v>0</v>
      </c>
      <c r="U126" s="155">
        <f>IF(D126="","",'Mx FORECAST'!DV64)</f>
        <v>0</v>
      </c>
      <c r="W126" s="540">
        <f>IF(D126="","",'Mx FORECAST'!DY64)</f>
        <v>5993431.837606838</v>
      </c>
      <c r="X126" s="540"/>
      <c r="Y126" s="437">
        <f>IF(D126="","",'Mx FORECAST'!DZ64)</f>
        <v>0.48697315442971761</v>
      </c>
      <c r="AD126" s="155"/>
      <c r="AF126" s="155"/>
      <c r="AH126" s="155"/>
      <c r="AJ126" s="155"/>
      <c r="AK126" s="8"/>
      <c r="AL126" s="8"/>
      <c r="AM126" s="8"/>
      <c r="AN126" s="8"/>
      <c r="AO126" s="8"/>
      <c r="AP126" s="8"/>
      <c r="AQ126" s="7"/>
      <c r="AR126" s="7"/>
      <c r="AS126" s="7"/>
      <c r="AT126" s="7"/>
      <c r="AU126" s="7"/>
      <c r="AV126" s="7"/>
      <c r="AW126" s="7"/>
      <c r="AX126" s="7"/>
      <c r="AY126" s="7"/>
      <c r="AZ126" s="8"/>
      <c r="BZ126" s="9"/>
      <c r="CA126" s="9"/>
      <c r="CB126" s="9"/>
      <c r="DM126" s="44">
        <f t="shared" si="335"/>
        <v>120</v>
      </c>
      <c r="DN126" s="41">
        <f t="shared" si="309"/>
        <v>12624583.5</v>
      </c>
      <c r="DO126" s="41">
        <f t="shared" si="336"/>
        <v>160895.21688034188</v>
      </c>
      <c r="DP126" s="42">
        <f t="shared" si="310"/>
        <v>0</v>
      </c>
      <c r="DQ126" s="42">
        <f t="shared" si="311"/>
        <v>0</v>
      </c>
      <c r="DR126" s="42">
        <f t="shared" si="312"/>
        <v>0</v>
      </c>
      <c r="DS126" s="42">
        <f t="shared" si="313"/>
        <v>448050</v>
      </c>
      <c r="DT126" s="42">
        <f t="shared" si="314"/>
        <v>0</v>
      </c>
      <c r="DU126" s="42">
        <f t="shared" si="315"/>
        <v>0</v>
      </c>
      <c r="DV126" s="42">
        <f t="shared" si="316"/>
        <v>0</v>
      </c>
      <c r="DW126" s="42">
        <f t="shared" si="317"/>
        <v>0</v>
      </c>
      <c r="DX126" s="42">
        <f t="shared" si="318"/>
        <v>7026346.1714743841</v>
      </c>
      <c r="DY126" s="42">
        <f>IF(DM126="",DY125,DN126-SUM($DO$6:DO126)+SUM($DP$6:DV126)-SUM($DW$6:DW126))</f>
        <v>5598237.3285256159</v>
      </c>
      <c r="DZ126" s="43">
        <f t="shared" si="337"/>
        <v>0.44343936800177336</v>
      </c>
      <c r="EA126" s="43"/>
      <c r="EB126" s="43" t="str">
        <f t="shared" si="295"/>
        <v>True</v>
      </c>
      <c r="EC126" s="41">
        <f t="shared" si="286"/>
        <v>222480</v>
      </c>
      <c r="ED126" s="41">
        <f t="shared" si="287"/>
        <v>686673.49999999988</v>
      </c>
      <c r="EE126" s="41">
        <f t="shared" si="319"/>
        <v>902280</v>
      </c>
      <c r="EF126" s="41">
        <f t="shared" si="338"/>
        <v>12360</v>
      </c>
      <c r="EG126" s="42">
        <f t="shared" si="339"/>
        <v>9537.1319444444434</v>
      </c>
      <c r="EH126" s="42">
        <f t="shared" si="340"/>
        <v>6265.8333333333321</v>
      </c>
      <c r="EI126" s="42">
        <f t="shared" si="320"/>
        <v>148320</v>
      </c>
      <c r="EJ126" s="42">
        <f t="shared" si="321"/>
        <v>457782</v>
      </c>
      <c r="EK126" s="42">
        <f t="shared" si="322"/>
        <v>751900</v>
      </c>
      <c r="EL126" s="42">
        <f>IF(DM126="","",EC126-SUM($EF$6:EF126)+SUM($DP$6:DP126))</f>
        <v>74160.000000000466</v>
      </c>
      <c r="EM126" s="42">
        <f>IF(DM126="","",ED126-SUM($EG$6:EG126)+SUM($DQ$6:DQ126))</f>
        <v>228891.16666666407</v>
      </c>
      <c r="EN126" s="42">
        <f>IF(DM126="","",EE126-SUM($EH$6:EH126)+SUM($DR$6:DR126))</f>
        <v>150379.9999999993</v>
      </c>
      <c r="EO126" s="152">
        <f t="shared" si="323"/>
        <v>0.25031620905027085</v>
      </c>
      <c r="EP126" s="43"/>
      <c r="EQ126" s="42">
        <f t="shared" si="324"/>
        <v>448050</v>
      </c>
      <c r="ER126" s="42">
        <f t="shared" si="325"/>
        <v>248100</v>
      </c>
      <c r="ES126" s="42">
        <f t="shared" si="341"/>
        <v>3733.75</v>
      </c>
      <c r="ET126" s="42">
        <f t="shared" si="342"/>
        <v>6122.9807692307695</v>
      </c>
      <c r="EU126" s="42">
        <f t="shared" si="326"/>
        <v>0</v>
      </c>
      <c r="EV126" s="42">
        <f t="shared" si="327"/>
        <v>238558</v>
      </c>
      <c r="EW126" s="42">
        <f>IF(DM126="","",IF(DS126&gt;0,DS126,EQ126-SUM($ES$6:ES126)+SUM($DS$6:DS126)))</f>
        <v>448050</v>
      </c>
      <c r="EX126" s="42">
        <f>IF(DM126="","",IF(DT126&gt;0,DT126,ER126-SUM($ET$6:ET126)+SUM($DT$6:DT126)))</f>
        <v>9542.3076923089102</v>
      </c>
      <c r="EY126" s="43">
        <f t="shared" si="328"/>
        <v>3.8461538461543369E-2</v>
      </c>
      <c r="EZ126" s="43">
        <f t="shared" si="329"/>
        <v>1</v>
      </c>
      <c r="FA126" s="43"/>
      <c r="FB126" s="42">
        <f t="shared" si="330"/>
        <v>4935000</v>
      </c>
      <c r="FC126" s="42">
        <f t="shared" si="331"/>
        <v>5182000</v>
      </c>
      <c r="FD126" s="41">
        <f t="shared" si="343"/>
        <v>89960.9375</v>
      </c>
      <c r="FE126" s="41">
        <f t="shared" si="344"/>
        <v>32914.583333333336</v>
      </c>
      <c r="FF126" s="42">
        <f t="shared" si="332"/>
        <v>3109466</v>
      </c>
      <c r="FG126" s="42">
        <f t="shared" si="333"/>
        <v>2320320</v>
      </c>
      <c r="FH126" s="42">
        <f>IF(DM126="","",IF(DU126&gt;0,DU126,FB126-SUM($FD$6:FD126)+SUM($DU$6:DU126)))</f>
        <v>1825533.8541666642</v>
      </c>
      <c r="FI126" s="42">
        <f>IF(DM126="","",FC126-SUM($FE$6:FE126)+SUM($DV$6:DV126)-SUM($DW$6:DW126))</f>
        <v>2861679.999999993</v>
      </c>
      <c r="FJ126" s="152">
        <f t="shared" si="334"/>
        <v>0.46330076644920992</v>
      </c>
      <c r="FN126" s="8"/>
      <c r="FO126" s="8"/>
      <c r="FP126" s="8"/>
      <c r="FQ126" s="8"/>
      <c r="FR126" s="8"/>
      <c r="FS126" s="8"/>
      <c r="FT126" s="8"/>
      <c r="FU126" s="8"/>
      <c r="GC126" s="68">
        <f t="shared" si="298"/>
        <v>121</v>
      </c>
      <c r="GD126" s="78">
        <f t="shared" si="299"/>
        <v>0</v>
      </c>
      <c r="GE126" s="309">
        <f t="shared" si="300"/>
        <v>0.43069477196180561</v>
      </c>
      <c r="GF126" s="78">
        <f t="shared" si="301"/>
        <v>0</v>
      </c>
      <c r="GG126" s="310">
        <f t="shared" si="302"/>
        <v>0.23476887304385502</v>
      </c>
      <c r="GH126" s="78">
        <f t="shared" si="303"/>
        <v>0</v>
      </c>
      <c r="GI126" s="310">
        <f t="shared" si="304"/>
        <v>0.9916666666666667</v>
      </c>
      <c r="GJ126" s="311">
        <f t="shared" si="305"/>
        <v>0</v>
      </c>
      <c r="GK126" s="310">
        <f t="shared" si="306"/>
        <v>1.3782051282056264E-2</v>
      </c>
      <c r="GL126" s="311">
        <f t="shared" si="307"/>
        <v>0</v>
      </c>
      <c r="GM126" s="310">
        <f t="shared" si="308"/>
        <v>0.45115531613455806</v>
      </c>
      <c r="HD126" s="13"/>
      <c r="HE126" s="24"/>
      <c r="HF126" s="13"/>
      <c r="HG126" s="13"/>
      <c r="HH126" s="13"/>
      <c r="HI126" s="13"/>
      <c r="HJ126" s="13"/>
      <c r="HK126" s="13"/>
      <c r="HL126" s="13"/>
      <c r="HM126" s="14"/>
      <c r="HN126" s="13"/>
      <c r="HO126" s="13"/>
    </row>
    <row r="127" spans="3:223" x14ac:dyDescent="0.2">
      <c r="C127" s="426">
        <f t="shared" si="243"/>
        <v>43070</v>
      </c>
      <c r="D127" s="155">
        <f t="shared" si="244"/>
        <v>59</v>
      </c>
      <c r="E127" s="155">
        <f t="shared" si="296"/>
        <v>12307520</v>
      </c>
      <c r="F127" s="155"/>
      <c r="G127" s="438">
        <f t="shared" si="297"/>
        <v>124541.17521367522</v>
      </c>
      <c r="I127" s="444">
        <f>IF(D127="","",'Mx FORECAST'!DX65)</f>
        <v>6438629.337606837</v>
      </c>
      <c r="J127" s="155">
        <f>IF(D127="","",'Mx FORECAST'!DP65)</f>
        <v>0</v>
      </c>
      <c r="K127" s="155">
        <f>IF(D127="","",'Mx FORECAST'!DQ65)</f>
        <v>0</v>
      </c>
      <c r="M127" s="155">
        <f>IF(D127="","",'Mx FORECAST'!DR65)</f>
        <v>0</v>
      </c>
      <c r="O127" s="155">
        <f>IF(D127="","",'Mx FORECAST'!DS65)</f>
        <v>0</v>
      </c>
      <c r="Q127" s="155">
        <f>IF(D127="","",'Mx FORECAST'!DT65)</f>
        <v>0</v>
      </c>
      <c r="S127" s="155">
        <f>IF(D127="","",'Mx FORECAST'!DU65)</f>
        <v>0</v>
      </c>
      <c r="U127" s="155">
        <f>IF(D127="","",'Mx FORECAST'!DV65)</f>
        <v>0</v>
      </c>
      <c r="W127" s="540">
        <f>IF(D127="","",'Mx FORECAST'!DY65)</f>
        <v>5868890.662393163</v>
      </c>
      <c r="X127" s="540"/>
      <c r="Y127" s="437">
        <f>IF(D127="","",'Mx FORECAST'!DZ65)</f>
        <v>0.47685404227603634</v>
      </c>
      <c r="AD127" s="155"/>
      <c r="AF127" s="155"/>
      <c r="AH127" s="155"/>
      <c r="AJ127" s="155"/>
      <c r="AK127" s="8"/>
      <c r="AL127" s="8"/>
      <c r="AM127" s="8"/>
      <c r="AN127" s="8"/>
      <c r="AO127" s="8"/>
      <c r="AP127" s="8"/>
      <c r="AQ127" s="8"/>
      <c r="AR127" s="8"/>
      <c r="AS127" s="8"/>
      <c r="AT127" s="8"/>
      <c r="AU127" s="8"/>
      <c r="AV127" s="8"/>
      <c r="AW127" s="8"/>
      <c r="AX127" s="8"/>
      <c r="AY127" s="8"/>
      <c r="AZ127" s="8"/>
      <c r="BZ127" s="9"/>
      <c r="CA127" s="9"/>
      <c r="CB127" s="9"/>
      <c r="DM127" s="44">
        <f t="shared" si="335"/>
        <v>121</v>
      </c>
      <c r="DN127" s="41">
        <f t="shared" si="309"/>
        <v>12624583.5</v>
      </c>
      <c r="DO127" s="41">
        <f t="shared" si="336"/>
        <v>160895.21688034188</v>
      </c>
      <c r="DP127" s="42">
        <f t="shared" si="310"/>
        <v>0</v>
      </c>
      <c r="DQ127" s="42">
        <f t="shared" si="311"/>
        <v>0</v>
      </c>
      <c r="DR127" s="42">
        <f t="shared" si="312"/>
        <v>0</v>
      </c>
      <c r="DS127" s="42">
        <f t="shared" si="313"/>
        <v>0</v>
      </c>
      <c r="DT127" s="42">
        <f t="shared" si="314"/>
        <v>0</v>
      </c>
      <c r="DU127" s="42">
        <f t="shared" si="315"/>
        <v>0</v>
      </c>
      <c r="DV127" s="42">
        <f t="shared" si="316"/>
        <v>0</v>
      </c>
      <c r="DW127" s="42">
        <f t="shared" si="317"/>
        <v>0</v>
      </c>
      <c r="DX127" s="42">
        <f t="shared" si="318"/>
        <v>7187241.3883547261</v>
      </c>
      <c r="DY127" s="42">
        <f>IF(DM127="",DY126,DN127-SUM($DO$6:DO127)+SUM($DP$6:DV127)-SUM($DW$6:DW127))</f>
        <v>5437342.1116452739</v>
      </c>
      <c r="DZ127" s="43">
        <f t="shared" si="337"/>
        <v>0.43069477196180561</v>
      </c>
      <c r="EA127" s="43"/>
      <c r="EB127" s="43" t="str">
        <f t="shared" si="295"/>
        <v>True</v>
      </c>
      <c r="EC127" s="41">
        <f t="shared" si="286"/>
        <v>222480</v>
      </c>
      <c r="ED127" s="41">
        <f t="shared" si="287"/>
        <v>686673.49999999988</v>
      </c>
      <c r="EE127" s="41">
        <f t="shared" si="319"/>
        <v>902280</v>
      </c>
      <c r="EF127" s="41">
        <f t="shared" si="338"/>
        <v>12360</v>
      </c>
      <c r="EG127" s="42">
        <f t="shared" si="339"/>
        <v>9537.1319444444434</v>
      </c>
      <c r="EH127" s="42">
        <f t="shared" si="340"/>
        <v>6265.8333333333321</v>
      </c>
      <c r="EI127" s="42">
        <f t="shared" si="320"/>
        <v>160680</v>
      </c>
      <c r="EJ127" s="42">
        <f t="shared" si="321"/>
        <v>467319</v>
      </c>
      <c r="EK127" s="42">
        <f t="shared" si="322"/>
        <v>758166</v>
      </c>
      <c r="EL127" s="42">
        <f>IF(DM127="","",EC127-SUM($EF$6:EF127)+SUM($DP$6:DP127))</f>
        <v>61800.000000000466</v>
      </c>
      <c r="EM127" s="42">
        <f>IF(DM127="","",ED127-SUM($EG$6:EG127)+SUM($DQ$6:DQ127))</f>
        <v>219354.03472221957</v>
      </c>
      <c r="EN127" s="42">
        <f>IF(DM127="","",EE127-SUM($EH$6:EH127)+SUM($DR$6:DR127))</f>
        <v>144114.16666666593</v>
      </c>
      <c r="EO127" s="152">
        <f t="shared" si="323"/>
        <v>0.23476887304385502</v>
      </c>
      <c r="EP127" s="43"/>
      <c r="EQ127" s="42">
        <f t="shared" si="324"/>
        <v>448050</v>
      </c>
      <c r="ER127" s="42">
        <f t="shared" si="325"/>
        <v>248100</v>
      </c>
      <c r="ES127" s="42">
        <f t="shared" si="341"/>
        <v>3733.75</v>
      </c>
      <c r="ET127" s="42">
        <f t="shared" si="342"/>
        <v>6122.9807692307695</v>
      </c>
      <c r="EU127" s="42">
        <f t="shared" si="326"/>
        <v>3734</v>
      </c>
      <c r="EV127" s="42">
        <f t="shared" si="327"/>
        <v>244681</v>
      </c>
      <c r="EW127" s="42">
        <f>IF(DM127="","",IF(DS127&gt;0,DS127,EQ127-SUM($ES$6:ES127)+SUM($DS$6:DS127)))</f>
        <v>444316.25</v>
      </c>
      <c r="EX127" s="42">
        <f>IF(DM127="","",IF(DT127&gt;0,DT127,ER127-SUM($ET$6:ET127)+SUM($DT$6:DT127)))</f>
        <v>3419.3269230781589</v>
      </c>
      <c r="EY127" s="43">
        <f t="shared" si="328"/>
        <v>1.3782051282056264E-2</v>
      </c>
      <c r="EZ127" s="43">
        <f t="shared" si="329"/>
        <v>0.9916666666666667</v>
      </c>
      <c r="FA127" s="43"/>
      <c r="FB127" s="42">
        <f t="shared" si="330"/>
        <v>4935000</v>
      </c>
      <c r="FC127" s="42">
        <f t="shared" si="331"/>
        <v>5182000</v>
      </c>
      <c r="FD127" s="41">
        <f t="shared" si="343"/>
        <v>89960.9375</v>
      </c>
      <c r="FE127" s="41">
        <f t="shared" si="344"/>
        <v>32914.583333333336</v>
      </c>
      <c r="FF127" s="42">
        <f t="shared" si="332"/>
        <v>3199427</v>
      </c>
      <c r="FG127" s="42">
        <f t="shared" si="333"/>
        <v>2353235</v>
      </c>
      <c r="FH127" s="42">
        <f>IF(DM127="","",IF(DU127&gt;0,DU127,FB127-SUM($FD$6:FD127)+SUM($DU$6:DU127)))</f>
        <v>1735572.9166666642</v>
      </c>
      <c r="FI127" s="42">
        <f>IF(DM127="","",FC127-SUM($FE$6:FE127)+SUM($DV$6:DV127)-SUM($DW$6:DW127))</f>
        <v>2828765.4166666595</v>
      </c>
      <c r="FJ127" s="152">
        <f t="shared" si="334"/>
        <v>0.45115531613455806</v>
      </c>
      <c r="FN127" s="8"/>
      <c r="FO127" s="8"/>
      <c r="FP127" s="8"/>
      <c r="FQ127" s="8"/>
      <c r="FR127" s="8"/>
      <c r="FS127" s="8"/>
      <c r="FT127" s="8"/>
      <c r="FU127" s="8"/>
      <c r="GC127" s="68">
        <f t="shared" si="298"/>
        <v>122</v>
      </c>
      <c r="GD127" s="78">
        <f t="shared" si="299"/>
        <v>0</v>
      </c>
      <c r="GE127" s="309">
        <f t="shared" si="300"/>
        <v>0.41795017592183786</v>
      </c>
      <c r="GF127" s="78">
        <f t="shared" si="301"/>
        <v>0</v>
      </c>
      <c r="GG127" s="310">
        <f t="shared" si="302"/>
        <v>0.21922153703743918</v>
      </c>
      <c r="GH127" s="78">
        <f t="shared" si="303"/>
        <v>0</v>
      </c>
      <c r="GI127" s="310">
        <f t="shared" si="304"/>
        <v>0.98333333333333328</v>
      </c>
      <c r="GJ127" s="311">
        <f t="shared" si="305"/>
        <v>0</v>
      </c>
      <c r="GK127" s="310">
        <f t="shared" si="306"/>
        <v>-1.0897435897430844E-2</v>
      </c>
      <c r="GL127" s="311">
        <f t="shared" si="307"/>
        <v>0</v>
      </c>
      <c r="GM127" s="310">
        <f t="shared" si="308"/>
        <v>0.43900986581990614</v>
      </c>
      <c r="HD127" s="13"/>
      <c r="HE127" s="24"/>
      <c r="HF127" s="13"/>
      <c r="HG127" s="13"/>
      <c r="HH127" s="13"/>
      <c r="HI127" s="13"/>
      <c r="HJ127" s="13"/>
      <c r="HK127" s="13"/>
      <c r="HL127" s="13"/>
      <c r="HM127" s="14"/>
      <c r="HN127" s="13"/>
      <c r="HO127" s="13"/>
    </row>
    <row r="128" spans="3:223" x14ac:dyDescent="0.2">
      <c r="C128" s="426">
        <f t="shared" si="243"/>
        <v>43101</v>
      </c>
      <c r="D128" s="155">
        <f t="shared" si="244"/>
        <v>60</v>
      </c>
      <c r="E128" s="155">
        <f t="shared" si="296"/>
        <v>12307520</v>
      </c>
      <c r="F128" s="155"/>
      <c r="G128" s="438">
        <f t="shared" si="297"/>
        <v>124541.17521367522</v>
      </c>
      <c r="I128" s="444">
        <f>IF(D128="","",'Mx FORECAST'!DX66)</f>
        <v>6563170.5128205121</v>
      </c>
      <c r="J128" s="155">
        <f>IF(D128="","",'Mx FORECAST'!DP66)</f>
        <v>0</v>
      </c>
      <c r="K128" s="155">
        <f>IF(D128="","",'Mx FORECAST'!DQ66)</f>
        <v>0</v>
      </c>
      <c r="M128" s="155">
        <f>IF(D128="","",'Mx FORECAST'!DR66)</f>
        <v>0</v>
      </c>
      <c r="O128" s="155">
        <f>IF(D128="","",'Mx FORECAST'!DS66)</f>
        <v>0</v>
      </c>
      <c r="Q128" s="155">
        <f>IF(D128="","",'Mx FORECAST'!DT66)</f>
        <v>0</v>
      </c>
      <c r="S128" s="155">
        <f>IF(D128="","",'Mx FORECAST'!DU66)</f>
        <v>0</v>
      </c>
      <c r="U128" s="155">
        <f>IF(D128="","",'Mx FORECAST'!DV66)</f>
        <v>0</v>
      </c>
      <c r="W128" s="540">
        <f>IF(D128="","",'Mx FORECAST'!DY66)</f>
        <v>5744349.4871794879</v>
      </c>
      <c r="X128" s="540"/>
      <c r="Y128" s="437">
        <f>IF(D128="","",'Mx FORECAST'!DZ66)</f>
        <v>0.46673493012235512</v>
      </c>
      <c r="AD128" s="155"/>
      <c r="AF128" s="155"/>
      <c r="AH128" s="155"/>
      <c r="AJ128" s="155"/>
      <c r="AK128" s="8"/>
      <c r="AL128" s="8"/>
      <c r="AM128" s="8"/>
      <c r="AN128" s="8"/>
      <c r="AO128" s="8"/>
      <c r="AP128" s="8"/>
      <c r="AQ128" s="8"/>
      <c r="AR128" s="8"/>
      <c r="AS128" s="8"/>
      <c r="AT128" s="8"/>
      <c r="AU128" s="8"/>
      <c r="AV128" s="8"/>
      <c r="AW128" s="8"/>
      <c r="AX128" s="8"/>
      <c r="AY128" s="8"/>
      <c r="AZ128" s="8"/>
      <c r="BZ128" s="9"/>
      <c r="CA128" s="9"/>
      <c r="CB128" s="9"/>
      <c r="DM128" s="44">
        <f t="shared" si="335"/>
        <v>122</v>
      </c>
      <c r="DN128" s="41">
        <f t="shared" si="309"/>
        <v>12624583.5</v>
      </c>
      <c r="DO128" s="41">
        <f t="shared" si="336"/>
        <v>160895.21688034188</v>
      </c>
      <c r="DP128" s="42">
        <f t="shared" si="310"/>
        <v>0</v>
      </c>
      <c r="DQ128" s="42">
        <f t="shared" si="311"/>
        <v>0</v>
      </c>
      <c r="DR128" s="42">
        <f t="shared" si="312"/>
        <v>0</v>
      </c>
      <c r="DS128" s="42">
        <f t="shared" si="313"/>
        <v>0</v>
      </c>
      <c r="DT128" s="42">
        <f t="shared" si="314"/>
        <v>0</v>
      </c>
      <c r="DU128" s="42">
        <f t="shared" si="315"/>
        <v>0</v>
      </c>
      <c r="DV128" s="42">
        <f t="shared" si="316"/>
        <v>0</v>
      </c>
      <c r="DW128" s="42">
        <f t="shared" si="317"/>
        <v>0</v>
      </c>
      <c r="DX128" s="42">
        <f t="shared" si="318"/>
        <v>7348136.6052350681</v>
      </c>
      <c r="DY128" s="42">
        <f>IF(DM128="",DY127,DN128-SUM($DO$6:DO128)+SUM($DP$6:DV128)-SUM($DW$6:DW128))</f>
        <v>5276446.8947649319</v>
      </c>
      <c r="DZ128" s="43">
        <f t="shared" si="337"/>
        <v>0.41795017592183786</v>
      </c>
      <c r="EA128" s="43"/>
      <c r="EB128" s="43" t="str">
        <f t="shared" si="295"/>
        <v>True</v>
      </c>
      <c r="EC128" s="41">
        <f t="shared" si="286"/>
        <v>222480</v>
      </c>
      <c r="ED128" s="41">
        <f t="shared" si="287"/>
        <v>686673.49999999988</v>
      </c>
      <c r="EE128" s="41">
        <f t="shared" si="319"/>
        <v>902280</v>
      </c>
      <c r="EF128" s="41">
        <f t="shared" si="338"/>
        <v>12360</v>
      </c>
      <c r="EG128" s="42">
        <f t="shared" si="339"/>
        <v>9537.1319444444434</v>
      </c>
      <c r="EH128" s="42">
        <f t="shared" si="340"/>
        <v>6265.8333333333321</v>
      </c>
      <c r="EI128" s="42">
        <f t="shared" si="320"/>
        <v>173040</v>
      </c>
      <c r="EJ128" s="42">
        <f t="shared" si="321"/>
        <v>476857</v>
      </c>
      <c r="EK128" s="42">
        <f t="shared" si="322"/>
        <v>764432</v>
      </c>
      <c r="EL128" s="42">
        <f>IF(DM128="","",EC128-SUM($EF$6:EF128)+SUM($DP$6:DP128))</f>
        <v>49440.000000000466</v>
      </c>
      <c r="EM128" s="42">
        <f>IF(DM128="","",ED128-SUM($EG$6:EG128)+SUM($DQ$6:DQ128))</f>
        <v>209816.90277777507</v>
      </c>
      <c r="EN128" s="42">
        <f>IF(DM128="","",EE128-SUM($EH$6:EH128)+SUM($DR$6:DR128))</f>
        <v>137848.33333333256</v>
      </c>
      <c r="EO128" s="152">
        <f t="shared" si="323"/>
        <v>0.21922153703743918</v>
      </c>
      <c r="EP128" s="43"/>
      <c r="EQ128" s="42">
        <f t="shared" si="324"/>
        <v>448050</v>
      </c>
      <c r="ER128" s="42">
        <f t="shared" si="325"/>
        <v>248100</v>
      </c>
      <c r="ES128" s="42">
        <f t="shared" si="341"/>
        <v>3733.75</v>
      </c>
      <c r="ET128" s="42">
        <f t="shared" si="342"/>
        <v>6122.9807692307695</v>
      </c>
      <c r="EU128" s="42">
        <f t="shared" si="326"/>
        <v>7468</v>
      </c>
      <c r="EV128" s="42">
        <f t="shared" si="327"/>
        <v>250804</v>
      </c>
      <c r="EW128" s="42">
        <f>IF(DM128="","",IF(DS128&gt;0,DS128,EQ128-SUM($ES$6:ES128)+SUM($DS$6:DS128)))</f>
        <v>440582.5</v>
      </c>
      <c r="EX128" s="42">
        <f>IF(DM128="","",IF(DT128&gt;0,DT128,ER128-SUM($ET$6:ET128)+SUM($DT$6:DT128)))</f>
        <v>-2703.6538461525925</v>
      </c>
      <c r="EY128" s="43">
        <f t="shared" si="328"/>
        <v>-1.0897435897430844E-2</v>
      </c>
      <c r="EZ128" s="43">
        <f t="shared" si="329"/>
        <v>0.98333333333333328</v>
      </c>
      <c r="FA128" s="43"/>
      <c r="FB128" s="42">
        <f t="shared" si="330"/>
        <v>4935000</v>
      </c>
      <c r="FC128" s="42">
        <f t="shared" si="331"/>
        <v>5182000</v>
      </c>
      <c r="FD128" s="41">
        <f t="shared" si="343"/>
        <v>89960.9375</v>
      </c>
      <c r="FE128" s="41">
        <f t="shared" si="344"/>
        <v>32914.583333333336</v>
      </c>
      <c r="FF128" s="42">
        <f t="shared" si="332"/>
        <v>3289388</v>
      </c>
      <c r="FG128" s="42">
        <f t="shared" si="333"/>
        <v>2386149</v>
      </c>
      <c r="FH128" s="42">
        <f>IF(DM128="","",IF(DU128&gt;0,DU128,FB128-SUM($FD$6:FD128)+SUM($DU$6:DU128)))</f>
        <v>1645611.9791666642</v>
      </c>
      <c r="FI128" s="42">
        <f>IF(DM128="","",FC128-SUM($FE$6:FE128)+SUM($DV$6:DV128)-SUM($DW$6:DW128))</f>
        <v>2795850.833333326</v>
      </c>
      <c r="FJ128" s="152">
        <f t="shared" si="334"/>
        <v>0.43900986581990614</v>
      </c>
      <c r="FN128" s="8"/>
      <c r="FO128" s="8"/>
      <c r="FP128" s="8"/>
      <c r="FQ128" s="8"/>
      <c r="FR128" s="8"/>
      <c r="FS128" s="8"/>
      <c r="FT128" s="8"/>
      <c r="FU128" s="8"/>
      <c r="GC128" s="68">
        <f t="shared" si="298"/>
        <v>123</v>
      </c>
      <c r="GD128" s="78">
        <f t="shared" si="299"/>
        <v>248100</v>
      </c>
      <c r="GE128" s="309">
        <f t="shared" si="300"/>
        <v>0.42485771335621408</v>
      </c>
      <c r="GF128" s="78">
        <f t="shared" si="301"/>
        <v>0</v>
      </c>
      <c r="GG128" s="310">
        <f t="shared" si="302"/>
        <v>0.20367420103102335</v>
      </c>
      <c r="GH128" s="78">
        <f t="shared" si="303"/>
        <v>0</v>
      </c>
      <c r="GI128" s="310">
        <f t="shared" si="304"/>
        <v>0.97499999999999998</v>
      </c>
      <c r="GJ128" s="311">
        <f t="shared" si="305"/>
        <v>248100</v>
      </c>
      <c r="GK128" s="310">
        <f t="shared" si="306"/>
        <v>1</v>
      </c>
      <c r="GL128" s="311">
        <f t="shared" si="307"/>
        <v>0</v>
      </c>
      <c r="GM128" s="310">
        <f t="shared" si="308"/>
        <v>0.42686441550525422</v>
      </c>
      <c r="HD128" s="13"/>
      <c r="HE128" s="24"/>
      <c r="HF128" s="13"/>
      <c r="HG128" s="13"/>
      <c r="HH128" s="13"/>
      <c r="HI128" s="13"/>
      <c r="HJ128" s="13"/>
      <c r="HK128" s="13"/>
      <c r="HL128" s="13"/>
      <c r="HM128" s="14"/>
      <c r="HN128" s="13"/>
      <c r="HO128" s="13"/>
    </row>
    <row r="129" spans="3:223" x14ac:dyDescent="0.2">
      <c r="C129" s="426">
        <f t="shared" si="243"/>
        <v>43132</v>
      </c>
      <c r="D129" s="155">
        <f t="shared" si="244"/>
        <v>61</v>
      </c>
      <c r="E129" s="155">
        <f t="shared" si="296"/>
        <v>12307520</v>
      </c>
      <c r="F129" s="155"/>
      <c r="G129" s="438">
        <f t="shared" si="297"/>
        <v>124541.17521367522</v>
      </c>
      <c r="I129" s="444">
        <f>IF(D129="","",'Mx FORECAST'!DX67)</f>
        <v>6687711.6880341871</v>
      </c>
      <c r="J129" s="155">
        <f>IF(D129="","",'Mx FORECAST'!DP67)</f>
        <v>0</v>
      </c>
      <c r="K129" s="155">
        <f>IF(D129="","",'Mx FORECAST'!DQ67)</f>
        <v>0</v>
      </c>
      <c r="M129" s="155">
        <f>IF(D129="","",'Mx FORECAST'!DR67)</f>
        <v>0</v>
      </c>
      <c r="O129" s="155">
        <f>IF(D129="","",'Mx FORECAST'!DS67)</f>
        <v>0</v>
      </c>
      <c r="Q129" s="155">
        <f>IF(D129="","",'Mx FORECAST'!DT67)</f>
        <v>0</v>
      </c>
      <c r="S129" s="155">
        <f>IF(D129="","",'Mx FORECAST'!DU67)</f>
        <v>0</v>
      </c>
      <c r="U129" s="155">
        <f>IF(D129="","",'Mx FORECAST'!DV67)</f>
        <v>0</v>
      </c>
      <c r="W129" s="540">
        <f>IF(D129="","",'Mx FORECAST'!DY67)</f>
        <v>5619808.3119658129</v>
      </c>
      <c r="X129" s="540"/>
      <c r="Y129" s="437">
        <f>IF(D129="","",'Mx FORECAST'!DZ67)</f>
        <v>0.45661581796867384</v>
      </c>
      <c r="AD129" s="155"/>
      <c r="AF129" s="155"/>
      <c r="AH129" s="155"/>
      <c r="AJ129" s="155"/>
      <c r="AK129" s="8"/>
      <c r="AL129" s="8"/>
      <c r="AM129" s="8"/>
      <c r="AN129" s="8"/>
      <c r="AO129" s="8"/>
      <c r="AP129" s="8"/>
      <c r="AQ129" s="8"/>
      <c r="AR129" s="8"/>
      <c r="AS129" s="8"/>
      <c r="AT129" s="8"/>
      <c r="AU129" s="8"/>
      <c r="AV129" s="8"/>
      <c r="AW129" s="8"/>
      <c r="AX129" s="8"/>
      <c r="AY129" s="8"/>
      <c r="AZ129" s="8"/>
      <c r="BZ129" s="9"/>
      <c r="CA129" s="9"/>
      <c r="CB129" s="9"/>
      <c r="DM129" s="44">
        <f t="shared" si="335"/>
        <v>123</v>
      </c>
      <c r="DN129" s="41">
        <f t="shared" si="309"/>
        <v>12624583.5</v>
      </c>
      <c r="DO129" s="41">
        <f t="shared" si="336"/>
        <v>160895.21688034188</v>
      </c>
      <c r="DP129" s="42">
        <f t="shared" si="310"/>
        <v>0</v>
      </c>
      <c r="DQ129" s="42">
        <f t="shared" si="311"/>
        <v>0</v>
      </c>
      <c r="DR129" s="42">
        <f t="shared" si="312"/>
        <v>0</v>
      </c>
      <c r="DS129" s="42">
        <f t="shared" si="313"/>
        <v>0</v>
      </c>
      <c r="DT129" s="42">
        <f t="shared" si="314"/>
        <v>248100</v>
      </c>
      <c r="DU129" s="42">
        <f t="shared" si="315"/>
        <v>0</v>
      </c>
      <c r="DV129" s="42">
        <f t="shared" si="316"/>
        <v>0</v>
      </c>
      <c r="DW129" s="42">
        <f t="shared" si="317"/>
        <v>0</v>
      </c>
      <c r="DX129" s="42">
        <f t="shared" si="318"/>
        <v>7260931.8221154101</v>
      </c>
      <c r="DY129" s="42">
        <f>IF(DM129="",DY128,DN129-SUM($DO$6:DO129)+SUM($DP$6:DV129)-SUM($DW$6:DW129))</f>
        <v>5363651.6778845899</v>
      </c>
      <c r="DZ129" s="43">
        <f t="shared" si="337"/>
        <v>0.42485771335621408</v>
      </c>
      <c r="EA129" s="43"/>
      <c r="EB129" s="43" t="str">
        <f t="shared" si="295"/>
        <v>True</v>
      </c>
      <c r="EC129" s="41">
        <f t="shared" si="286"/>
        <v>222480</v>
      </c>
      <c r="ED129" s="41">
        <f t="shared" si="287"/>
        <v>686673.49999999988</v>
      </c>
      <c r="EE129" s="41">
        <f t="shared" si="319"/>
        <v>902280</v>
      </c>
      <c r="EF129" s="41">
        <f t="shared" si="338"/>
        <v>12360</v>
      </c>
      <c r="EG129" s="42">
        <f t="shared" si="339"/>
        <v>9537.1319444444434</v>
      </c>
      <c r="EH129" s="42">
        <f t="shared" si="340"/>
        <v>6265.8333333333321</v>
      </c>
      <c r="EI129" s="42">
        <f t="shared" si="320"/>
        <v>185400</v>
      </c>
      <c r="EJ129" s="42">
        <f t="shared" si="321"/>
        <v>486394</v>
      </c>
      <c r="EK129" s="42">
        <f t="shared" si="322"/>
        <v>770698</v>
      </c>
      <c r="EL129" s="42">
        <f>IF(DM129="","",EC129-SUM($EF$6:EF129)+SUM($DP$6:DP129))</f>
        <v>37080.000000000466</v>
      </c>
      <c r="EM129" s="42">
        <f>IF(DM129="","",ED129-SUM($EG$6:EG129)+SUM($DQ$6:DQ129))</f>
        <v>200279.77083333058</v>
      </c>
      <c r="EN129" s="42">
        <f>IF(DM129="","",EE129-SUM($EH$6:EH129)+SUM($DR$6:DR129))</f>
        <v>131582.49999999919</v>
      </c>
      <c r="EO129" s="152">
        <f t="shared" si="323"/>
        <v>0.20367420103102335</v>
      </c>
      <c r="EP129" s="43"/>
      <c r="EQ129" s="42">
        <f t="shared" si="324"/>
        <v>448050</v>
      </c>
      <c r="ER129" s="42">
        <f t="shared" si="325"/>
        <v>248100</v>
      </c>
      <c r="ES129" s="42">
        <f t="shared" si="341"/>
        <v>3733.75</v>
      </c>
      <c r="ET129" s="42">
        <f t="shared" si="342"/>
        <v>6122.9807692307695</v>
      </c>
      <c r="EU129" s="42">
        <f t="shared" si="326"/>
        <v>11201</v>
      </c>
      <c r="EV129" s="42">
        <f t="shared" si="327"/>
        <v>0</v>
      </c>
      <c r="EW129" s="42">
        <f>IF(DM129="","",IF(DS129&gt;0,DS129,EQ129-SUM($ES$6:ES129)+SUM($DS$6:DS129)))</f>
        <v>436848.75</v>
      </c>
      <c r="EX129" s="42">
        <f>IF(DM129="","",IF(DT129&gt;0,DT129,ER129-SUM($ET$6:ET129)+SUM($DT$6:DT129)))</f>
        <v>248100</v>
      </c>
      <c r="EY129" s="43">
        <f t="shared" si="328"/>
        <v>1</v>
      </c>
      <c r="EZ129" s="43">
        <f t="shared" si="329"/>
        <v>0.97499999999999998</v>
      </c>
      <c r="FA129" s="43"/>
      <c r="FB129" s="42">
        <f t="shared" si="330"/>
        <v>4935000</v>
      </c>
      <c r="FC129" s="42">
        <f t="shared" si="331"/>
        <v>5182000</v>
      </c>
      <c r="FD129" s="41">
        <f t="shared" si="343"/>
        <v>89960.9375</v>
      </c>
      <c r="FE129" s="41">
        <f t="shared" si="344"/>
        <v>32914.583333333336</v>
      </c>
      <c r="FF129" s="42">
        <f t="shared" si="332"/>
        <v>3379349</v>
      </c>
      <c r="FG129" s="42">
        <f t="shared" si="333"/>
        <v>2419064</v>
      </c>
      <c r="FH129" s="42">
        <f>IF(DM129="","",IF(DU129&gt;0,DU129,FB129-SUM($FD$6:FD129)+SUM($DU$6:DU129)))</f>
        <v>1555651.0416666642</v>
      </c>
      <c r="FI129" s="42">
        <f>IF(DM129="","",FC129-SUM($FE$6:FE129)+SUM($DV$6:DV129)-SUM($DW$6:DW129))</f>
        <v>2762936.2499999925</v>
      </c>
      <c r="FJ129" s="152">
        <f t="shared" si="334"/>
        <v>0.42686441550525422</v>
      </c>
      <c r="FN129" s="8"/>
      <c r="FO129" s="8"/>
      <c r="FP129" s="8"/>
      <c r="FQ129" s="8"/>
      <c r="FR129" s="8"/>
      <c r="FS129" s="8"/>
      <c r="FT129" s="8"/>
      <c r="FU129" s="8"/>
      <c r="GC129" s="68">
        <f t="shared" si="298"/>
        <v>124</v>
      </c>
      <c r="GD129" s="78">
        <f t="shared" si="299"/>
        <v>0</v>
      </c>
      <c r="GE129" s="309">
        <f t="shared" si="300"/>
        <v>0.4121131173162465</v>
      </c>
      <c r="GF129" s="78">
        <f t="shared" si="301"/>
        <v>0</v>
      </c>
      <c r="GG129" s="310">
        <f t="shared" si="302"/>
        <v>0.18812686502460751</v>
      </c>
      <c r="GH129" s="78">
        <f t="shared" si="303"/>
        <v>0</v>
      </c>
      <c r="GI129" s="310">
        <f t="shared" si="304"/>
        <v>0.96666666666666667</v>
      </c>
      <c r="GJ129" s="311">
        <f t="shared" si="305"/>
        <v>0</v>
      </c>
      <c r="GK129" s="310">
        <f t="shared" si="306"/>
        <v>0.93974358974359495</v>
      </c>
      <c r="GL129" s="311">
        <f t="shared" si="307"/>
        <v>0</v>
      </c>
      <c r="GM129" s="310">
        <f t="shared" si="308"/>
        <v>0.41471896519060225</v>
      </c>
      <c r="HD129" s="13"/>
      <c r="HE129" s="24"/>
      <c r="HF129" s="13"/>
      <c r="HG129" s="13"/>
      <c r="HH129" s="13"/>
      <c r="HI129" s="13"/>
      <c r="HJ129" s="13"/>
      <c r="HK129" s="13"/>
      <c r="HL129" s="13"/>
      <c r="HM129" s="14"/>
      <c r="HN129" s="13"/>
      <c r="HO129" s="13"/>
    </row>
    <row r="130" spans="3:223" x14ac:dyDescent="0.2">
      <c r="C130" s="426">
        <f t="shared" si="243"/>
        <v>43160</v>
      </c>
      <c r="D130" s="155">
        <f t="shared" si="244"/>
        <v>62</v>
      </c>
      <c r="E130" s="155">
        <f t="shared" si="296"/>
        <v>12307520</v>
      </c>
      <c r="F130" s="155"/>
      <c r="G130" s="438">
        <f t="shared" si="297"/>
        <v>124541.17521367522</v>
      </c>
      <c r="I130" s="444">
        <f>IF(D130="","",'Mx FORECAST'!DX68)</f>
        <v>6812252.8632478621</v>
      </c>
      <c r="J130" s="155">
        <f>IF(D130="","",'Mx FORECAST'!DP68)</f>
        <v>0</v>
      </c>
      <c r="K130" s="155">
        <f>IF(D130="","",'Mx FORECAST'!DQ68)</f>
        <v>0</v>
      </c>
      <c r="M130" s="155">
        <f>IF(D130="","",'Mx FORECAST'!DR68)</f>
        <v>0</v>
      </c>
      <c r="O130" s="155">
        <f>IF(D130="","",'Mx FORECAST'!DS68)</f>
        <v>0</v>
      </c>
      <c r="Q130" s="155">
        <f>IF(D130="","",'Mx FORECAST'!DT68)</f>
        <v>0</v>
      </c>
      <c r="S130" s="155">
        <f>IF(D130="","",'Mx FORECAST'!DU68)</f>
        <v>0</v>
      </c>
      <c r="U130" s="155">
        <f>IF(D130="","",'Mx FORECAST'!DV68)</f>
        <v>0</v>
      </c>
      <c r="W130" s="540">
        <f>IF(D130="","",'Mx FORECAST'!DY68)</f>
        <v>5495267.1367521379</v>
      </c>
      <c r="X130" s="540"/>
      <c r="Y130" s="437">
        <f>IF(D130="","",'Mx FORECAST'!DZ68)</f>
        <v>0.44649670581499262</v>
      </c>
      <c r="AD130" s="155"/>
      <c r="AF130" s="155"/>
      <c r="AH130" s="155"/>
      <c r="AJ130" s="155"/>
      <c r="AK130" s="8"/>
      <c r="AL130" s="8"/>
      <c r="AM130" s="8"/>
      <c r="AN130" s="8"/>
      <c r="AO130" s="8"/>
      <c r="AP130" s="8"/>
      <c r="AQ130" s="8"/>
      <c r="AR130" s="8"/>
      <c r="AS130" s="8"/>
      <c r="AT130" s="8"/>
      <c r="AU130" s="8"/>
      <c r="AV130" s="8"/>
      <c r="AW130" s="8"/>
      <c r="AX130" s="8"/>
      <c r="AY130" s="8"/>
      <c r="AZ130" s="8"/>
      <c r="BZ130" s="9"/>
      <c r="CA130" s="9"/>
      <c r="CB130" s="9"/>
      <c r="DM130" s="44">
        <f t="shared" si="335"/>
        <v>124</v>
      </c>
      <c r="DN130" s="41">
        <f t="shared" si="309"/>
        <v>12624583.5</v>
      </c>
      <c r="DO130" s="41">
        <f t="shared" si="336"/>
        <v>160895.21688034188</v>
      </c>
      <c r="DP130" s="42">
        <f t="shared" si="310"/>
        <v>0</v>
      </c>
      <c r="DQ130" s="42">
        <f t="shared" si="311"/>
        <v>0</v>
      </c>
      <c r="DR130" s="42">
        <f t="shared" si="312"/>
        <v>0</v>
      </c>
      <c r="DS130" s="42">
        <f t="shared" si="313"/>
        <v>0</v>
      </c>
      <c r="DT130" s="42">
        <f t="shared" si="314"/>
        <v>0</v>
      </c>
      <c r="DU130" s="42">
        <f t="shared" si="315"/>
        <v>0</v>
      </c>
      <c r="DV130" s="42">
        <f t="shared" si="316"/>
        <v>0</v>
      </c>
      <c r="DW130" s="42">
        <f t="shared" si="317"/>
        <v>0</v>
      </c>
      <c r="DX130" s="42">
        <f t="shared" si="318"/>
        <v>7421827.0389957502</v>
      </c>
      <c r="DY130" s="42">
        <f>IF(DM130="",DY129,DN130-SUM($DO$6:DO130)+SUM($DP$6:DV130)-SUM($DW$6:DW130))</f>
        <v>5202756.4610042498</v>
      </c>
      <c r="DZ130" s="43">
        <f t="shared" si="337"/>
        <v>0.4121131173162465</v>
      </c>
      <c r="EA130" s="43"/>
      <c r="EB130" s="43" t="str">
        <f t="shared" si="295"/>
        <v>True</v>
      </c>
      <c r="EC130" s="41">
        <f t="shared" si="286"/>
        <v>222480</v>
      </c>
      <c r="ED130" s="41">
        <f t="shared" si="287"/>
        <v>686673.49999999988</v>
      </c>
      <c r="EE130" s="41">
        <f t="shared" si="319"/>
        <v>902280</v>
      </c>
      <c r="EF130" s="41">
        <f t="shared" si="338"/>
        <v>12360</v>
      </c>
      <c r="EG130" s="42">
        <f t="shared" si="339"/>
        <v>9537.1319444444434</v>
      </c>
      <c r="EH130" s="42">
        <f t="shared" si="340"/>
        <v>6265.8333333333321</v>
      </c>
      <c r="EI130" s="42">
        <f t="shared" si="320"/>
        <v>197760</v>
      </c>
      <c r="EJ130" s="42">
        <f t="shared" si="321"/>
        <v>495931</v>
      </c>
      <c r="EK130" s="42">
        <f t="shared" si="322"/>
        <v>776963</v>
      </c>
      <c r="EL130" s="42">
        <f>IF(DM130="","",EC130-SUM($EF$6:EF130)+SUM($DP$6:DP130))</f>
        <v>24720.000000000466</v>
      </c>
      <c r="EM130" s="42">
        <f>IF(DM130="","",ED130-SUM($EG$6:EG130)+SUM($DQ$6:DQ130))</f>
        <v>190742.63888888608</v>
      </c>
      <c r="EN130" s="42">
        <f>IF(DM130="","",EE130-SUM($EH$6:EH130)+SUM($DR$6:DR130))</f>
        <v>125316.66666666581</v>
      </c>
      <c r="EO130" s="152">
        <f t="shared" si="323"/>
        <v>0.18812686502460751</v>
      </c>
      <c r="EP130" s="43"/>
      <c r="EQ130" s="42">
        <f t="shared" si="324"/>
        <v>448050</v>
      </c>
      <c r="ER130" s="42">
        <f t="shared" si="325"/>
        <v>248100</v>
      </c>
      <c r="ES130" s="42">
        <f t="shared" si="341"/>
        <v>3733.75</v>
      </c>
      <c r="ET130" s="42">
        <f t="shared" si="342"/>
        <v>6122.9807692307695</v>
      </c>
      <c r="EU130" s="42">
        <f t="shared" si="326"/>
        <v>14935</v>
      </c>
      <c r="EV130" s="42">
        <f t="shared" si="327"/>
        <v>14950</v>
      </c>
      <c r="EW130" s="42">
        <f>IF(DM130="","",IF(DS130&gt;0,DS130,EQ130-SUM($ES$6:ES130)+SUM($DS$6:DS130)))</f>
        <v>433115</v>
      </c>
      <c r="EX130" s="42">
        <f>IF(DM130="","",IF(DT130&gt;0,DT130,ER130-SUM($ET$6:ET130)+SUM($DT$6:DT130)))</f>
        <v>233150.3846153859</v>
      </c>
      <c r="EY130" s="43">
        <f t="shared" si="328"/>
        <v>0.93974358974359495</v>
      </c>
      <c r="EZ130" s="43">
        <f t="shared" si="329"/>
        <v>0.96666666666666667</v>
      </c>
      <c r="FA130" s="43"/>
      <c r="FB130" s="42">
        <f t="shared" si="330"/>
        <v>4935000</v>
      </c>
      <c r="FC130" s="42">
        <f t="shared" si="331"/>
        <v>5182000</v>
      </c>
      <c r="FD130" s="41">
        <f t="shared" si="343"/>
        <v>89960.9375</v>
      </c>
      <c r="FE130" s="41">
        <f t="shared" si="344"/>
        <v>32914.583333333336</v>
      </c>
      <c r="FF130" s="42">
        <f t="shared" si="332"/>
        <v>3469310</v>
      </c>
      <c r="FG130" s="42">
        <f t="shared" si="333"/>
        <v>2451978</v>
      </c>
      <c r="FH130" s="42">
        <f>IF(DM130="","",IF(DU130&gt;0,DU130,FB130-SUM($FD$6:FD130)+SUM($DU$6:DU130)))</f>
        <v>1465690.1041666642</v>
      </c>
      <c r="FI130" s="42">
        <f>IF(DM130="","",FC130-SUM($FE$6:FE130)+SUM($DV$6:DV130)-SUM($DW$6:DW130))</f>
        <v>2730021.6666666591</v>
      </c>
      <c r="FJ130" s="152">
        <f t="shared" si="334"/>
        <v>0.41471896519060225</v>
      </c>
      <c r="FN130" s="8"/>
      <c r="FO130" s="8"/>
      <c r="FP130" s="8"/>
      <c r="FQ130" s="8"/>
      <c r="FR130" s="8"/>
      <c r="FS130" s="8"/>
      <c r="FT130" s="8"/>
      <c r="FU130" s="8"/>
      <c r="GC130" s="68">
        <f t="shared" si="298"/>
        <v>125</v>
      </c>
      <c r="GD130" s="78">
        <f t="shared" si="299"/>
        <v>0</v>
      </c>
      <c r="GE130" s="309">
        <f t="shared" si="300"/>
        <v>0.39936852127627892</v>
      </c>
      <c r="GF130" s="78">
        <f t="shared" si="301"/>
        <v>0</v>
      </c>
      <c r="GG130" s="310">
        <f t="shared" si="302"/>
        <v>0.17257952901819165</v>
      </c>
      <c r="GH130" s="78">
        <f t="shared" si="303"/>
        <v>0</v>
      </c>
      <c r="GI130" s="310">
        <f t="shared" si="304"/>
        <v>0.95833333333333337</v>
      </c>
      <c r="GJ130" s="311">
        <f t="shared" si="305"/>
        <v>0</v>
      </c>
      <c r="GK130" s="310">
        <f t="shared" si="306"/>
        <v>0.91506410256410786</v>
      </c>
      <c r="GL130" s="311">
        <f t="shared" si="307"/>
        <v>0</v>
      </c>
      <c r="GM130" s="310">
        <f t="shared" si="308"/>
        <v>0.40257351487595033</v>
      </c>
      <c r="HD130" s="13"/>
      <c r="HE130" s="24"/>
      <c r="HF130" s="13"/>
      <c r="HG130" s="13"/>
      <c r="HH130" s="13"/>
      <c r="HI130" s="13"/>
      <c r="HJ130" s="13"/>
      <c r="HK130" s="13"/>
      <c r="HL130" s="13"/>
      <c r="HM130" s="14"/>
      <c r="HN130" s="13"/>
      <c r="HO130" s="13"/>
    </row>
    <row r="131" spans="3:223" x14ac:dyDescent="0.2">
      <c r="C131" s="426">
        <f t="shared" si="243"/>
        <v>43191</v>
      </c>
      <c r="D131" s="155">
        <f t="shared" si="244"/>
        <v>63</v>
      </c>
      <c r="E131" s="155">
        <f t="shared" si="296"/>
        <v>12307520</v>
      </c>
      <c r="F131" s="155"/>
      <c r="G131" s="438">
        <f t="shared" si="297"/>
        <v>124541.17521367522</v>
      </c>
      <c r="I131" s="444">
        <f>IF(D131="","",'Mx FORECAST'!DX69)</f>
        <v>6936794.0384615371</v>
      </c>
      <c r="J131" s="155">
        <f>IF(D131="","",'Mx FORECAST'!DP69)</f>
        <v>0</v>
      </c>
      <c r="K131" s="155">
        <f>IF(D131="","",'Mx FORECAST'!DQ69)</f>
        <v>0</v>
      </c>
      <c r="M131" s="155">
        <f>IF(D131="","",'Mx FORECAST'!DR69)</f>
        <v>0</v>
      </c>
      <c r="O131" s="155">
        <f>IF(D131="","",'Mx FORECAST'!DS69)</f>
        <v>0</v>
      </c>
      <c r="Q131" s="155">
        <f>IF(D131="","",'Mx FORECAST'!DT69)</f>
        <v>0</v>
      </c>
      <c r="S131" s="155">
        <f>IF(D131="","",'Mx FORECAST'!DU69)</f>
        <v>0</v>
      </c>
      <c r="U131" s="155">
        <f>IF(D131="","",'Mx FORECAST'!DV69)</f>
        <v>0</v>
      </c>
      <c r="W131" s="540">
        <f>IF(D131="","",'Mx FORECAST'!DY69)</f>
        <v>5370725.9615384629</v>
      </c>
      <c r="X131" s="540"/>
      <c r="Y131" s="437">
        <f>IF(D131="","",'Mx FORECAST'!DZ69)</f>
        <v>0.43637759366131135</v>
      </c>
      <c r="AD131" s="155"/>
      <c r="AF131" s="155"/>
      <c r="AH131" s="155"/>
      <c r="AJ131" s="155"/>
      <c r="AK131" s="8"/>
      <c r="AL131" s="8"/>
      <c r="AM131" s="8"/>
      <c r="AN131" s="8"/>
      <c r="AO131" s="8"/>
      <c r="AP131" s="8"/>
      <c r="AQ131" s="8"/>
      <c r="AR131" s="8"/>
      <c r="AS131" s="8"/>
      <c r="AT131" s="8"/>
      <c r="AU131" s="8"/>
      <c r="AV131" s="8"/>
      <c r="AW131" s="8"/>
      <c r="AX131" s="8"/>
      <c r="AY131" s="8"/>
      <c r="AZ131" s="8"/>
      <c r="BZ131" s="9"/>
      <c r="CA131" s="9"/>
      <c r="CB131" s="9"/>
      <c r="DM131" s="44">
        <f t="shared" si="335"/>
        <v>125</v>
      </c>
      <c r="DN131" s="41">
        <f t="shared" si="309"/>
        <v>12624583.5</v>
      </c>
      <c r="DO131" s="41">
        <f t="shared" si="336"/>
        <v>160895.21688034188</v>
      </c>
      <c r="DP131" s="42">
        <f t="shared" si="310"/>
        <v>0</v>
      </c>
      <c r="DQ131" s="42">
        <f t="shared" si="311"/>
        <v>0</v>
      </c>
      <c r="DR131" s="42">
        <f t="shared" si="312"/>
        <v>0</v>
      </c>
      <c r="DS131" s="42">
        <f t="shared" si="313"/>
        <v>0</v>
      </c>
      <c r="DT131" s="42">
        <f t="shared" si="314"/>
        <v>0</v>
      </c>
      <c r="DU131" s="42">
        <f t="shared" si="315"/>
        <v>0</v>
      </c>
      <c r="DV131" s="42">
        <f t="shared" si="316"/>
        <v>0</v>
      </c>
      <c r="DW131" s="42">
        <f t="shared" si="317"/>
        <v>0</v>
      </c>
      <c r="DX131" s="42">
        <f t="shared" si="318"/>
        <v>7582722.2558760904</v>
      </c>
      <c r="DY131" s="42">
        <f>IF(DM131="",DY130,DN131-SUM($DO$6:DO131)+SUM($DP$6:DV131)-SUM($DW$6:DW131))</f>
        <v>5041861.2441239096</v>
      </c>
      <c r="DZ131" s="43">
        <f t="shared" si="337"/>
        <v>0.39936852127627892</v>
      </c>
      <c r="EA131" s="43"/>
      <c r="EB131" s="43" t="str">
        <f t="shared" si="295"/>
        <v>True</v>
      </c>
      <c r="EC131" s="41">
        <f t="shared" si="286"/>
        <v>222480</v>
      </c>
      <c r="ED131" s="41">
        <f t="shared" si="287"/>
        <v>686673.49999999988</v>
      </c>
      <c r="EE131" s="41">
        <f t="shared" si="319"/>
        <v>902280</v>
      </c>
      <c r="EF131" s="41">
        <f t="shared" si="338"/>
        <v>12360</v>
      </c>
      <c r="EG131" s="42">
        <f t="shared" si="339"/>
        <v>9537.1319444444434</v>
      </c>
      <c r="EH131" s="42">
        <f t="shared" si="340"/>
        <v>6265.8333333333321</v>
      </c>
      <c r="EI131" s="42">
        <f t="shared" si="320"/>
        <v>210120</v>
      </c>
      <c r="EJ131" s="42">
        <f t="shared" si="321"/>
        <v>505468</v>
      </c>
      <c r="EK131" s="42">
        <f t="shared" si="322"/>
        <v>783229</v>
      </c>
      <c r="EL131" s="42">
        <f>IF(DM131="","",EC131-SUM($EF$6:EF131)+SUM($DP$6:DP131))</f>
        <v>12360.000000000466</v>
      </c>
      <c r="EM131" s="42">
        <f>IF(DM131="","",ED131-SUM($EG$6:EG131)+SUM($DQ$6:DQ131))</f>
        <v>181205.50694444159</v>
      </c>
      <c r="EN131" s="42">
        <f>IF(DM131="","",EE131-SUM($EH$6:EH131)+SUM($DR$6:DR131))</f>
        <v>119050.83333333244</v>
      </c>
      <c r="EO131" s="152">
        <f t="shared" si="323"/>
        <v>0.17257952901819165</v>
      </c>
      <c r="EP131" s="43"/>
      <c r="EQ131" s="42">
        <f t="shared" si="324"/>
        <v>448050</v>
      </c>
      <c r="ER131" s="42">
        <f t="shared" si="325"/>
        <v>248100</v>
      </c>
      <c r="ES131" s="42">
        <f t="shared" si="341"/>
        <v>3733.75</v>
      </c>
      <c r="ET131" s="42">
        <f t="shared" si="342"/>
        <v>6122.9807692307695</v>
      </c>
      <c r="EU131" s="42">
        <f t="shared" si="326"/>
        <v>18669</v>
      </c>
      <c r="EV131" s="42">
        <f t="shared" si="327"/>
        <v>21073</v>
      </c>
      <c r="EW131" s="42">
        <f>IF(DM131="","",IF(DS131&gt;0,DS131,EQ131-SUM($ES$6:ES131)+SUM($DS$6:DS131)))</f>
        <v>429381.25</v>
      </c>
      <c r="EX131" s="42">
        <f>IF(DM131="","",IF(DT131&gt;0,DT131,ER131-SUM($ET$6:ET131)+SUM($DT$6:DT131)))</f>
        <v>227027.40384615515</v>
      </c>
      <c r="EY131" s="43">
        <f t="shared" si="328"/>
        <v>0.91506410256410786</v>
      </c>
      <c r="EZ131" s="43">
        <f t="shared" si="329"/>
        <v>0.95833333333333337</v>
      </c>
      <c r="FA131" s="43"/>
      <c r="FB131" s="42">
        <f t="shared" si="330"/>
        <v>4935000</v>
      </c>
      <c r="FC131" s="42">
        <f t="shared" si="331"/>
        <v>5182000</v>
      </c>
      <c r="FD131" s="41">
        <f t="shared" si="343"/>
        <v>89960.9375</v>
      </c>
      <c r="FE131" s="41">
        <f t="shared" si="344"/>
        <v>32914.583333333336</v>
      </c>
      <c r="FF131" s="42">
        <f t="shared" si="332"/>
        <v>3559271</v>
      </c>
      <c r="FG131" s="42">
        <f t="shared" si="333"/>
        <v>2484893</v>
      </c>
      <c r="FH131" s="42">
        <f>IF(DM131="","",IF(DU131&gt;0,DU131,FB131-SUM($FD$6:FD131)+SUM($DU$6:DU131)))</f>
        <v>1375729.1666666642</v>
      </c>
      <c r="FI131" s="42">
        <f>IF(DM131="","",FC131-SUM($FE$6:FE131)+SUM($DV$6:DV131)-SUM($DW$6:DW131))</f>
        <v>2697107.0833333256</v>
      </c>
      <c r="FJ131" s="152">
        <f t="shared" si="334"/>
        <v>0.40257351487595033</v>
      </c>
      <c r="FN131" s="8"/>
      <c r="FO131" s="8"/>
      <c r="FP131" s="8"/>
      <c r="FQ131" s="8"/>
      <c r="FR131" s="8"/>
      <c r="FS131" s="8"/>
      <c r="FT131" s="8"/>
      <c r="FU131" s="8"/>
      <c r="GC131" s="68">
        <f t="shared" si="298"/>
        <v>126</v>
      </c>
      <c r="GD131" s="78">
        <f t="shared" si="299"/>
        <v>222480</v>
      </c>
      <c r="GE131" s="309">
        <f t="shared" si="300"/>
        <v>0.40424668483071696</v>
      </c>
      <c r="GF131" s="78">
        <f t="shared" si="301"/>
        <v>222480</v>
      </c>
      <c r="GG131" s="310">
        <f t="shared" si="302"/>
        <v>0.27985204811548237</v>
      </c>
      <c r="GH131" s="78">
        <f t="shared" si="303"/>
        <v>0</v>
      </c>
      <c r="GI131" s="310">
        <f t="shared" si="304"/>
        <v>0.95</v>
      </c>
      <c r="GJ131" s="311">
        <f t="shared" si="305"/>
        <v>0</v>
      </c>
      <c r="GK131" s="310">
        <f t="shared" si="306"/>
        <v>0.89038461538462077</v>
      </c>
      <c r="GL131" s="311">
        <f t="shared" si="307"/>
        <v>0</v>
      </c>
      <c r="GM131" s="310">
        <f t="shared" si="308"/>
        <v>0.39042806456129842</v>
      </c>
      <c r="HD131" s="13"/>
      <c r="HE131" s="24"/>
      <c r="HF131" s="13"/>
      <c r="HG131" s="13"/>
      <c r="HH131" s="13"/>
      <c r="HI131" s="13"/>
      <c r="HJ131" s="13"/>
      <c r="HK131" s="13"/>
      <c r="HL131" s="13"/>
      <c r="HM131" s="14"/>
      <c r="HN131" s="13"/>
      <c r="HO131" s="13"/>
    </row>
    <row r="132" spans="3:223" x14ac:dyDescent="0.2">
      <c r="C132" s="426">
        <f t="shared" si="243"/>
        <v>43221</v>
      </c>
      <c r="D132" s="155">
        <f t="shared" si="244"/>
        <v>64</v>
      </c>
      <c r="E132" s="155">
        <f t="shared" ref="E132:E163" si="345">IF(D132="","",DN70)</f>
        <v>12307520</v>
      </c>
      <c r="F132" s="155"/>
      <c r="G132" s="438">
        <f t="shared" si="297"/>
        <v>124541.17521367522</v>
      </c>
      <c r="I132" s="444">
        <f>IF(D132="","",'Mx FORECAST'!DX70)</f>
        <v>7061335.2136752121</v>
      </c>
      <c r="J132" s="155">
        <f>IF(D132="","",'Mx FORECAST'!DP70)</f>
        <v>0</v>
      </c>
      <c r="K132" s="155">
        <f>IF(D132="","",'Mx FORECAST'!DQ70)</f>
        <v>0</v>
      </c>
      <c r="M132" s="155">
        <f>IF(D132="","",'Mx FORECAST'!DR70)</f>
        <v>0</v>
      </c>
      <c r="O132" s="155">
        <f>IF(D132="","",'Mx FORECAST'!DS70)</f>
        <v>0</v>
      </c>
      <c r="Q132" s="155">
        <f>IF(D132="","",'Mx FORECAST'!DT70)</f>
        <v>0</v>
      </c>
      <c r="S132" s="155">
        <f>IF(D132="","",'Mx FORECAST'!DU70)</f>
        <v>0</v>
      </c>
      <c r="U132" s="155">
        <f>IF(D132="","",'Mx FORECAST'!DV70)</f>
        <v>0</v>
      </c>
      <c r="W132" s="540">
        <f>IF(D132="","",'Mx FORECAST'!DY70)</f>
        <v>5246184.7863247879</v>
      </c>
      <c r="X132" s="540"/>
      <c r="Y132" s="437">
        <f>IF(D132="","",'Mx FORECAST'!DZ70)</f>
        <v>0.42625848150763013</v>
      </c>
      <c r="AD132" s="155"/>
      <c r="AF132" s="155"/>
      <c r="AH132" s="155"/>
      <c r="AJ132" s="155"/>
      <c r="AK132" s="8"/>
      <c r="AL132" s="8"/>
      <c r="AM132" s="8"/>
      <c r="AN132" s="8"/>
      <c r="AO132" s="8"/>
      <c r="AP132" s="8"/>
      <c r="AQ132" s="8"/>
      <c r="AR132" s="8"/>
      <c r="AS132" s="8"/>
      <c r="AT132" s="8"/>
      <c r="AU132" s="8"/>
      <c r="AV132" s="8"/>
      <c r="AW132" s="8"/>
      <c r="AX132" s="8"/>
      <c r="AY132" s="8"/>
      <c r="AZ132" s="8"/>
      <c r="BZ132" s="9"/>
      <c r="CA132" s="9"/>
      <c r="CB132" s="9"/>
      <c r="DM132" s="44">
        <f t="shared" si="335"/>
        <v>126</v>
      </c>
      <c r="DN132" s="41">
        <f t="shared" si="309"/>
        <v>12624583.5</v>
      </c>
      <c r="DO132" s="41">
        <f t="shared" si="336"/>
        <v>160895.21688034188</v>
      </c>
      <c r="DP132" s="42">
        <f t="shared" si="310"/>
        <v>222480</v>
      </c>
      <c r="DQ132" s="42">
        <f t="shared" si="311"/>
        <v>0</v>
      </c>
      <c r="DR132" s="42">
        <f t="shared" si="312"/>
        <v>0</v>
      </c>
      <c r="DS132" s="42">
        <f t="shared" si="313"/>
        <v>0</v>
      </c>
      <c r="DT132" s="42">
        <f t="shared" si="314"/>
        <v>0</v>
      </c>
      <c r="DU132" s="42">
        <f t="shared" si="315"/>
        <v>0</v>
      </c>
      <c r="DV132" s="42">
        <f t="shared" si="316"/>
        <v>0</v>
      </c>
      <c r="DW132" s="42">
        <f t="shared" si="317"/>
        <v>0</v>
      </c>
      <c r="DX132" s="42">
        <f t="shared" si="318"/>
        <v>7521137.4727564305</v>
      </c>
      <c r="DY132" s="42">
        <f>IF(DM132="",DY131,DN132-SUM($DO$6:DO132)+SUM($DP$6:DV132)-SUM($DW$6:DW132))</f>
        <v>5103446.0272435695</v>
      </c>
      <c r="DZ132" s="43">
        <f t="shared" si="337"/>
        <v>0.40424668483071696</v>
      </c>
      <c r="EA132" s="43"/>
      <c r="EB132" s="43" t="str">
        <f t="shared" si="295"/>
        <v>True</v>
      </c>
      <c r="EC132" s="41">
        <f t="shared" si="286"/>
        <v>222480</v>
      </c>
      <c r="ED132" s="41">
        <f t="shared" si="287"/>
        <v>686673.49999999988</v>
      </c>
      <c r="EE132" s="41">
        <f t="shared" si="319"/>
        <v>902280</v>
      </c>
      <c r="EF132" s="41">
        <f t="shared" si="338"/>
        <v>12360</v>
      </c>
      <c r="EG132" s="42">
        <f t="shared" si="339"/>
        <v>9537.1319444444434</v>
      </c>
      <c r="EH132" s="42">
        <f t="shared" si="340"/>
        <v>6265.8333333333321</v>
      </c>
      <c r="EI132" s="42">
        <f t="shared" si="320"/>
        <v>0</v>
      </c>
      <c r="EJ132" s="42">
        <f t="shared" si="321"/>
        <v>515005</v>
      </c>
      <c r="EK132" s="42">
        <f t="shared" si="322"/>
        <v>789495</v>
      </c>
      <c r="EL132" s="42">
        <f>IF(DM132="","",EC132-SUM($EF$6:EF132)+SUM($DP$6:DP132))</f>
        <v>222480.00000000047</v>
      </c>
      <c r="EM132" s="42">
        <f>IF(DM132="","",ED132-SUM($EG$6:EG132)+SUM($DQ$6:DQ132))</f>
        <v>171668.37499999709</v>
      </c>
      <c r="EN132" s="42">
        <f>IF(DM132="","",EE132-SUM($EH$6:EH132)+SUM($DR$6:DR132))</f>
        <v>112784.99999999907</v>
      </c>
      <c r="EO132" s="152">
        <f t="shared" si="323"/>
        <v>0.27985204811548237</v>
      </c>
      <c r="EP132" s="43"/>
      <c r="EQ132" s="42">
        <f t="shared" si="324"/>
        <v>448050</v>
      </c>
      <c r="ER132" s="42">
        <f t="shared" si="325"/>
        <v>248100</v>
      </c>
      <c r="ES132" s="42">
        <f t="shared" si="341"/>
        <v>3733.75</v>
      </c>
      <c r="ET132" s="42">
        <f t="shared" si="342"/>
        <v>6122.9807692307695</v>
      </c>
      <c r="EU132" s="42">
        <f t="shared" si="326"/>
        <v>22403</v>
      </c>
      <c r="EV132" s="42">
        <f t="shared" si="327"/>
        <v>27196</v>
      </c>
      <c r="EW132" s="42">
        <f>IF(DM132="","",IF(DS132&gt;0,DS132,EQ132-SUM($ES$6:ES132)+SUM($DS$6:DS132)))</f>
        <v>425647.5</v>
      </c>
      <c r="EX132" s="42">
        <f>IF(DM132="","",IF(DT132&gt;0,DT132,ER132-SUM($ET$6:ET132)+SUM($DT$6:DT132)))</f>
        <v>220904.4230769244</v>
      </c>
      <c r="EY132" s="43">
        <f t="shared" si="328"/>
        <v>0.89038461538462077</v>
      </c>
      <c r="EZ132" s="43">
        <f t="shared" si="329"/>
        <v>0.95</v>
      </c>
      <c r="FA132" s="43"/>
      <c r="FB132" s="42">
        <f t="shared" si="330"/>
        <v>4935000</v>
      </c>
      <c r="FC132" s="42">
        <f t="shared" si="331"/>
        <v>5182000</v>
      </c>
      <c r="FD132" s="41">
        <f t="shared" si="343"/>
        <v>89960.9375</v>
      </c>
      <c r="FE132" s="41">
        <f t="shared" si="344"/>
        <v>32914.583333333336</v>
      </c>
      <c r="FF132" s="42">
        <f t="shared" si="332"/>
        <v>3649232</v>
      </c>
      <c r="FG132" s="42">
        <f t="shared" si="333"/>
        <v>2517808</v>
      </c>
      <c r="FH132" s="42">
        <f>IF(DM132="","",IF(DU132&gt;0,DU132,FB132-SUM($FD$6:FD132)+SUM($DU$6:DU132)))</f>
        <v>1285768.2291666642</v>
      </c>
      <c r="FI132" s="42">
        <f>IF(DM132="","",FC132-SUM($FE$6:FE132)+SUM($DV$6:DV132)-SUM($DW$6:DW132))</f>
        <v>2664192.4999999921</v>
      </c>
      <c r="FJ132" s="152">
        <f t="shared" si="334"/>
        <v>0.39042806456129842</v>
      </c>
      <c r="FN132" s="8"/>
      <c r="FO132" s="8"/>
      <c r="FP132" s="8"/>
      <c r="FQ132" s="8"/>
      <c r="FR132" s="8"/>
      <c r="FS132" s="8"/>
      <c r="FT132" s="8"/>
      <c r="FU132" s="8"/>
      <c r="GC132" s="68">
        <f t="shared" si="298"/>
        <v>127</v>
      </c>
      <c r="GD132" s="78">
        <f t="shared" si="299"/>
        <v>0</v>
      </c>
      <c r="GE132" s="309">
        <f t="shared" si="300"/>
        <v>0.39333554127124282</v>
      </c>
      <c r="GF132" s="78">
        <f t="shared" si="301"/>
        <v>0</v>
      </c>
      <c r="GG132" s="310">
        <f t="shared" si="302"/>
        <v>0.27971711765697854</v>
      </c>
      <c r="GH132" s="78">
        <f t="shared" si="303"/>
        <v>0</v>
      </c>
      <c r="GI132" s="310">
        <f t="shared" si="304"/>
        <v>0.94166666666666665</v>
      </c>
      <c r="GJ132" s="311">
        <f t="shared" si="305"/>
        <v>0</v>
      </c>
      <c r="GK132" s="310">
        <f t="shared" si="306"/>
        <v>0.86570512820513357</v>
      </c>
      <c r="GL132" s="311">
        <f t="shared" si="307"/>
        <v>0</v>
      </c>
      <c r="GM132" s="310">
        <f t="shared" si="308"/>
        <v>0.3782826142466465</v>
      </c>
      <c r="HD132" s="13"/>
      <c r="HE132" s="24"/>
      <c r="HF132" s="13"/>
      <c r="HG132" s="14"/>
      <c r="HH132" s="13"/>
      <c r="HI132" s="13"/>
      <c r="HJ132" s="13"/>
      <c r="HK132" s="13"/>
      <c r="HL132" s="13"/>
      <c r="HM132" s="14"/>
      <c r="HN132" s="13"/>
      <c r="HO132" s="13"/>
    </row>
    <row r="133" spans="3:223" x14ac:dyDescent="0.2">
      <c r="C133" s="426">
        <f t="shared" ref="C133:C196" si="346">IF(OR(C132="",D133=""),"",EDATE(C132,1))</f>
        <v>43252</v>
      </c>
      <c r="D133" s="155">
        <f t="shared" ref="D133:D196" si="347">IF(DM71="","",DM71)</f>
        <v>65</v>
      </c>
      <c r="E133" s="155">
        <f t="shared" si="345"/>
        <v>12307520</v>
      </c>
      <c r="F133" s="155"/>
      <c r="G133" s="438">
        <f t="shared" ref="G133:G164" si="348">IF(D133="","",DO71)</f>
        <v>124541.17521367522</v>
      </c>
      <c r="I133" s="444">
        <f>IF(D133="","",'Mx FORECAST'!DX71)</f>
        <v>7185876.3888888871</v>
      </c>
      <c r="J133" s="155">
        <f>IF(D133="","",'Mx FORECAST'!DP71)</f>
        <v>0</v>
      </c>
      <c r="K133" s="155">
        <f>IF(D133="","",'Mx FORECAST'!DQ71)</f>
        <v>0</v>
      </c>
      <c r="M133" s="155">
        <f>IF(D133="","",'Mx FORECAST'!DR71)</f>
        <v>0</v>
      </c>
      <c r="O133" s="155">
        <f>IF(D133="","",'Mx FORECAST'!DS71)</f>
        <v>0</v>
      </c>
      <c r="Q133" s="155">
        <f>IF(D133="","",'Mx FORECAST'!DT71)</f>
        <v>0</v>
      </c>
      <c r="S133" s="155">
        <f>IF(D133="","",'Mx FORECAST'!DU71)</f>
        <v>0</v>
      </c>
      <c r="U133" s="155">
        <f>IF(D133="","",'Mx FORECAST'!DV71)</f>
        <v>0</v>
      </c>
      <c r="W133" s="540">
        <f>IF(D133="","",'Mx FORECAST'!DY71)</f>
        <v>5121643.6111111129</v>
      </c>
      <c r="X133" s="540"/>
      <c r="Y133" s="437">
        <f>IF(D133="","",'Mx FORECAST'!DZ71)</f>
        <v>0.41613936935394885</v>
      </c>
      <c r="AD133" s="155"/>
      <c r="AF133" s="155"/>
      <c r="AH133" s="155"/>
      <c r="AJ133" s="155"/>
      <c r="AK133" s="8"/>
      <c r="AL133" s="8"/>
      <c r="AM133" s="8"/>
      <c r="AN133" s="8"/>
      <c r="AO133" s="8"/>
      <c r="AP133" s="8"/>
      <c r="AQ133" s="8"/>
      <c r="AR133" s="8"/>
      <c r="AS133" s="8"/>
      <c r="AT133" s="8"/>
      <c r="AU133" s="8"/>
      <c r="AV133" s="8"/>
      <c r="AW133" s="8"/>
      <c r="AX133" s="8"/>
      <c r="AY133" s="8"/>
      <c r="AZ133" s="8"/>
      <c r="BZ133" s="9"/>
      <c r="CA133" s="9"/>
      <c r="CB133" s="9"/>
      <c r="DM133" s="44">
        <f t="shared" si="335"/>
        <v>127</v>
      </c>
      <c r="DN133" s="41">
        <f t="shared" si="309"/>
        <v>12666583.5</v>
      </c>
      <c r="DO133" s="41">
        <f t="shared" si="336"/>
        <v>163228.55021367522</v>
      </c>
      <c r="DP133" s="42">
        <f t="shared" si="310"/>
        <v>0</v>
      </c>
      <c r="DQ133" s="42">
        <f t="shared" si="311"/>
        <v>0</v>
      </c>
      <c r="DR133" s="42">
        <f t="shared" si="312"/>
        <v>0</v>
      </c>
      <c r="DS133" s="42">
        <f t="shared" si="313"/>
        <v>0</v>
      </c>
      <c r="DT133" s="42">
        <f t="shared" si="314"/>
        <v>0</v>
      </c>
      <c r="DU133" s="42">
        <f t="shared" si="315"/>
        <v>0</v>
      </c>
      <c r="DV133" s="42">
        <f t="shared" si="316"/>
        <v>0</v>
      </c>
      <c r="DW133" s="42">
        <f t="shared" si="317"/>
        <v>0</v>
      </c>
      <c r="DX133" s="42">
        <f t="shared" si="318"/>
        <v>7684366.0229701065</v>
      </c>
      <c r="DY133" s="42">
        <f>IF(DM133="",DY132,DN133-SUM($DO$6:DO133)+SUM($DP$6:DV133)-SUM($DW$6:DW133))</f>
        <v>4982217.4770298935</v>
      </c>
      <c r="DZ133" s="43">
        <f t="shared" si="337"/>
        <v>0.39333554127124282</v>
      </c>
      <c r="EA133" s="43"/>
      <c r="EB133" s="43" t="str">
        <f t="shared" si="295"/>
        <v>False</v>
      </c>
      <c r="EC133" s="41">
        <f t="shared" si="286"/>
        <v>264480</v>
      </c>
      <c r="ED133" s="41">
        <f t="shared" si="287"/>
        <v>686673.49999999988</v>
      </c>
      <c r="EE133" s="41">
        <f t="shared" si="319"/>
        <v>902280</v>
      </c>
      <c r="EF133" s="41">
        <f t="shared" si="338"/>
        <v>14693.333333333334</v>
      </c>
      <c r="EG133" s="42">
        <f t="shared" si="339"/>
        <v>9537.1319444444434</v>
      </c>
      <c r="EH133" s="42">
        <f t="shared" si="340"/>
        <v>6265.8333333333321</v>
      </c>
      <c r="EI133" s="42">
        <f t="shared" si="320"/>
        <v>14693</v>
      </c>
      <c r="EJ133" s="42">
        <f t="shared" si="321"/>
        <v>524542</v>
      </c>
      <c r="EK133" s="42">
        <f t="shared" si="322"/>
        <v>795761</v>
      </c>
      <c r="EL133" s="42">
        <f>IF(DM133="","",EC133-SUM($EF$6:EF133)+SUM($DP$6:DP133))</f>
        <v>249786.66666666721</v>
      </c>
      <c r="EM133" s="42">
        <f>IF(DM133="","",ED133-SUM($EG$6:EG133)+SUM($DQ$6:DQ133))</f>
        <v>162131.24305555259</v>
      </c>
      <c r="EN133" s="42">
        <f>IF(DM133="","",EE133-SUM($EH$6:EH133)+SUM($DR$6:DR133))</f>
        <v>106519.1666666657</v>
      </c>
      <c r="EO133" s="152">
        <f t="shared" si="323"/>
        <v>0.27971711765697854</v>
      </c>
      <c r="EP133" s="43"/>
      <c r="EQ133" s="42">
        <f t="shared" si="324"/>
        <v>448050</v>
      </c>
      <c r="ER133" s="42">
        <f t="shared" si="325"/>
        <v>248100</v>
      </c>
      <c r="ES133" s="42">
        <f t="shared" si="341"/>
        <v>3733.75</v>
      </c>
      <c r="ET133" s="42">
        <f t="shared" si="342"/>
        <v>6122.9807692307695</v>
      </c>
      <c r="EU133" s="42">
        <f t="shared" si="326"/>
        <v>26136</v>
      </c>
      <c r="EV133" s="42">
        <f t="shared" si="327"/>
        <v>33319</v>
      </c>
      <c r="EW133" s="42">
        <f>IF(DM133="","",IF(DS133&gt;0,DS133,EQ133-SUM($ES$6:ES133)+SUM($DS$6:DS133)))</f>
        <v>421913.75</v>
      </c>
      <c r="EX133" s="42">
        <f>IF(DM133="","",IF(DT133&gt;0,DT133,ER133-SUM($ET$6:ET133)+SUM($DT$6:DT133)))</f>
        <v>214781.44230769365</v>
      </c>
      <c r="EY133" s="43">
        <f t="shared" si="328"/>
        <v>0.86570512820513357</v>
      </c>
      <c r="EZ133" s="43">
        <f t="shared" si="329"/>
        <v>0.94166666666666665</v>
      </c>
      <c r="FA133" s="43"/>
      <c r="FB133" s="42">
        <f t="shared" si="330"/>
        <v>4935000</v>
      </c>
      <c r="FC133" s="42">
        <f t="shared" si="331"/>
        <v>5182000</v>
      </c>
      <c r="FD133" s="41">
        <f t="shared" si="343"/>
        <v>89960.9375</v>
      </c>
      <c r="FE133" s="41">
        <f t="shared" si="344"/>
        <v>32914.583333333336</v>
      </c>
      <c r="FF133" s="42">
        <f t="shared" si="332"/>
        <v>3739193</v>
      </c>
      <c r="FG133" s="42">
        <f t="shared" si="333"/>
        <v>2550722</v>
      </c>
      <c r="FH133" s="42">
        <f>IF(DM133="","",IF(DU133&gt;0,DU133,FB133-SUM($FD$6:FD133)+SUM($DU$6:DU133)))</f>
        <v>1195807.2916666642</v>
      </c>
      <c r="FI133" s="42">
        <f>IF(DM133="","",FC133-SUM($FE$6:FE133)+SUM($DV$6:DV133)-SUM($DW$6:DW133))</f>
        <v>2631277.9166666586</v>
      </c>
      <c r="FJ133" s="152">
        <f t="shared" si="334"/>
        <v>0.3782826142466465</v>
      </c>
      <c r="FN133" s="8"/>
      <c r="FO133" s="8"/>
      <c r="FP133" s="8"/>
      <c r="FQ133" s="8"/>
      <c r="FR133" s="8"/>
      <c r="FS133" s="8"/>
      <c r="FT133" s="8"/>
      <c r="FU133" s="8"/>
      <c r="GC133" s="68">
        <f t="shared" ref="GC133:GC164" si="349">DM134</f>
        <v>128</v>
      </c>
      <c r="GD133" s="78">
        <f t="shared" ref="GD133:GD164" si="350">IF(DM134="","",SUM(DP134:DV134))</f>
        <v>0</v>
      </c>
      <c r="GE133" s="309">
        <f t="shared" ref="GE133:GE164" si="351">IF(DM134="",DZ134,DZ134)</f>
        <v>0.38044899217032102</v>
      </c>
      <c r="GF133" s="78">
        <f t="shared" ref="GF133:GF164" si="352">IF(DM134="","",SUM(DP134:DR134))</f>
        <v>0</v>
      </c>
      <c r="GG133" s="310">
        <f t="shared" ref="GG133:GG164" si="353">IF(DM134="",GG132,EO134)</f>
        <v>0.26326316955950907</v>
      </c>
      <c r="GH133" s="78">
        <f t="shared" ref="GH133:GH164" si="354">IF(DM134="","",DS134)</f>
        <v>0</v>
      </c>
      <c r="GI133" s="310">
        <f t="shared" ref="GI133:GI164" si="355">IF(DM134="",GI132,EZ134)</f>
        <v>0.93333333333333335</v>
      </c>
      <c r="GJ133" s="311">
        <f t="shared" ref="GJ133:GJ164" si="356">IF(DM134="","",DT134)</f>
        <v>0</v>
      </c>
      <c r="GK133" s="310">
        <f t="shared" ref="GK133:GK164" si="357">IF(DM134="",GK132,EY134)</f>
        <v>0.84102564102564648</v>
      </c>
      <c r="GL133" s="311">
        <f t="shared" ref="GL133:GL164" si="358">IF(DM134="","",SUM(DU134:DV134))</f>
        <v>0</v>
      </c>
      <c r="GM133" s="310">
        <f t="shared" ref="GM133:GM164" si="359">IF(DM134="",GM132,FJ134)</f>
        <v>0.36613716393199464</v>
      </c>
    </row>
    <row r="134" spans="3:223" x14ac:dyDescent="0.2">
      <c r="C134" s="426">
        <f t="shared" si="346"/>
        <v>43282</v>
      </c>
      <c r="D134" s="155">
        <f t="shared" si="347"/>
        <v>66</v>
      </c>
      <c r="E134" s="155">
        <f t="shared" si="345"/>
        <v>12307520</v>
      </c>
      <c r="F134" s="155"/>
      <c r="G134" s="438">
        <f t="shared" si="348"/>
        <v>124541.17521367522</v>
      </c>
      <c r="I134" s="444">
        <f>IF(D134="","",'Mx FORECAST'!DX72)</f>
        <v>7310417.5641025621</v>
      </c>
      <c r="J134" s="155">
        <f>IF(D134="","",'Mx FORECAST'!DP72)</f>
        <v>0</v>
      </c>
      <c r="K134" s="155">
        <f>IF(D134="","",'Mx FORECAST'!DQ72)</f>
        <v>0</v>
      </c>
      <c r="M134" s="155">
        <f>IF(D134="","",'Mx FORECAST'!DR72)</f>
        <v>0</v>
      </c>
      <c r="O134" s="155">
        <f>IF(D134="","",'Mx FORECAST'!DS72)</f>
        <v>0</v>
      </c>
      <c r="Q134" s="155">
        <f>IF(D134="","",'Mx FORECAST'!DT72)</f>
        <v>0</v>
      </c>
      <c r="S134" s="155">
        <f>IF(D134="","",'Mx FORECAST'!DU72)</f>
        <v>0</v>
      </c>
      <c r="U134" s="155">
        <f>IF(D134="","",'Mx FORECAST'!DV72)</f>
        <v>0</v>
      </c>
      <c r="W134" s="540">
        <f>IF(D134="","",'Mx FORECAST'!DY72)</f>
        <v>4997102.4358974379</v>
      </c>
      <c r="X134" s="540"/>
      <c r="Y134" s="437">
        <f>IF(D134="","",'Mx FORECAST'!DZ72)</f>
        <v>0.40602025720026763</v>
      </c>
      <c r="AD134" s="155"/>
      <c r="AF134" s="155"/>
      <c r="AH134" s="155"/>
      <c r="AJ134" s="155"/>
      <c r="AK134" s="8"/>
      <c r="AL134" s="8"/>
      <c r="AM134" s="8"/>
      <c r="AN134" s="8"/>
      <c r="AO134" s="8"/>
      <c r="AP134" s="8"/>
      <c r="AQ134" s="8"/>
      <c r="AR134" s="8"/>
      <c r="AS134" s="8"/>
      <c r="AT134" s="8"/>
      <c r="AU134" s="8"/>
      <c r="AV134" s="8"/>
      <c r="AW134" s="8"/>
      <c r="AX134" s="8"/>
      <c r="AY134" s="8"/>
      <c r="AZ134" s="8"/>
      <c r="BZ134" s="9"/>
      <c r="CA134" s="9"/>
      <c r="CB134" s="9"/>
      <c r="DM134" s="44">
        <f t="shared" si="335"/>
        <v>128</v>
      </c>
      <c r="DN134" s="41">
        <f t="shared" ref="DN134:DN165" si="360">IF(DM134="","",SUM(EC134:EE134)+SUM(EQ134:ER134)+SUM(FB134:FC134))</f>
        <v>12666583.5</v>
      </c>
      <c r="DO134" s="41">
        <f t="shared" si="336"/>
        <v>163228.55021367522</v>
      </c>
      <c r="DP134" s="42">
        <f t="shared" ref="DP134:DP165" si="361">IF(DM134="","",IF(ISNA(VLOOKUP(DM134,$GS$4:$GU$13,3,FALSE)),0,VLOOKUP(DM134,$GS$4:$GU$13,3,FALSE)))</f>
        <v>0</v>
      </c>
      <c r="DQ134" s="42">
        <f t="shared" ref="DQ134:DQ165" si="362">IF(DM134="","",IF(ISNA(VLOOKUP(DM134,$GS$14:$GU$15,3,FALSE)),0,VLOOKUP(DM134,$GS$14:$GU$15,3,FALSE)))</f>
        <v>0</v>
      </c>
      <c r="DR134" s="42">
        <f t="shared" ref="DR134:DR165" si="363">IF(DM134="","",IF(ISNA(VLOOKUP(DM134,$GS$16:$GU$16,3,FALSE)),0,VLOOKUP(DM134,$GS$16:$GU$16,3,FALSE)))</f>
        <v>0</v>
      </c>
      <c r="DS134" s="42">
        <f t="shared" ref="DS134:DS165" si="364">IF(DM134="","",IF(ISNA(VLOOKUP(DM134,$GS$17:$GU$19,3,FALSE)),0,VLOOKUP(DM134,$GS$17:$GU$19,3,FALSE)))</f>
        <v>0</v>
      </c>
      <c r="DT134" s="42">
        <f t="shared" ref="DT134:DT165" si="365">IF(DM134="","",IF(ISNA(VLOOKUP(DM134,$GS$20:$GU$28,3,FALSE)),0,VLOOKUP(DM134,$GS$20:$GU$28,3,FALSE)))</f>
        <v>0</v>
      </c>
      <c r="DU134" s="42">
        <f t="shared" ref="DU134:DU165" si="366">IF(DM134="","",IF(ISNA(VLOOKUP(DM134,$GS$30:$GW$44,3,FALSE)),0,VLOOKUP(DM134,$GS$30:$GW$44,3,FALSE)))</f>
        <v>0</v>
      </c>
      <c r="DV134" s="42">
        <f t="shared" ref="DV134:DV165" si="367">IF(DM134="","",IF(ISNA(VLOOKUP(DM134,$GS$30:$GW$44,4,FALSE)),0,VLOOKUP(DM134,$GS$30:$GW$44,4,FALSE)))</f>
        <v>0</v>
      </c>
      <c r="DW134" s="42">
        <f t="shared" ref="DW134:DW165" si="368">IF(DM134="","",IF(ISNA(VLOOKUP(DM134,$GS$30:$GW$44,5,FALSE)),0,VLOOKUP(DM134,$GS$30:$GW$44,5,FALSE)))</f>
        <v>0</v>
      </c>
      <c r="DX134" s="42">
        <f t="shared" ref="DX134:DX165" si="369">IF(DM134="","",DN134-DY134)</f>
        <v>7847594.5731837824</v>
      </c>
      <c r="DY134" s="42">
        <f>IF(DM134="",DY133,DN134-SUM($DO$6:DO134)+SUM($DP$6:DV134)-SUM($DW$6:DW134))</f>
        <v>4818988.9268162176</v>
      </c>
      <c r="DZ134" s="43">
        <f t="shared" si="337"/>
        <v>0.38044899217032102</v>
      </c>
      <c r="EA134" s="43"/>
      <c r="EB134" s="43" t="str">
        <f t="shared" si="295"/>
        <v>False</v>
      </c>
      <c r="EC134" s="41">
        <f t="shared" si="286"/>
        <v>264480</v>
      </c>
      <c r="ED134" s="41">
        <f t="shared" si="287"/>
        <v>686673.49999999988</v>
      </c>
      <c r="EE134" s="41">
        <f t="shared" ref="EE134:EE165" si="370">IF(DM134="","",IF(DM134&lt;=$DI$9,$DF$9,$DF$20))</f>
        <v>902280</v>
      </c>
      <c r="EF134" s="41">
        <f t="shared" si="338"/>
        <v>14693.333333333334</v>
      </c>
      <c r="EG134" s="42">
        <f t="shared" si="339"/>
        <v>9537.1319444444434</v>
      </c>
      <c r="EH134" s="42">
        <f t="shared" si="340"/>
        <v>6265.8333333333321</v>
      </c>
      <c r="EI134" s="42">
        <f t="shared" ref="EI134:EI165" si="371">IF(DM134="","",ROUND(EC134-EL134,0))</f>
        <v>29387</v>
      </c>
      <c r="EJ134" s="42">
        <f t="shared" ref="EJ134:EJ165" si="372">IF(DM134="","",ROUND(ED134-EM134,0))</f>
        <v>534079</v>
      </c>
      <c r="EK134" s="42">
        <f t="shared" ref="EK134:EK165" si="373">IF(DM134="","",ROUND(EE134-EN134,0))</f>
        <v>802027</v>
      </c>
      <c r="EL134" s="42">
        <f>IF(DM134="","",EC134-SUM($EF$6:EF134)+SUM($DP$6:DP134))</f>
        <v>235093.33333333395</v>
      </c>
      <c r="EM134" s="42">
        <f>IF(DM134="","",ED134-SUM($EG$6:EG134)+SUM($DQ$6:DQ134))</f>
        <v>152594.1111111081</v>
      </c>
      <c r="EN134" s="42">
        <f>IF(DM134="","",EE134-SUM($EH$6:EH134)+SUM($DR$6:DR134))</f>
        <v>100253.33333333232</v>
      </c>
      <c r="EO134" s="152">
        <f t="shared" ref="EO134:EO165" si="374">IF(DM134="","",SUM(EL134:EN134)/SUM(EC134:EE134))</f>
        <v>0.26326316955950907</v>
      </c>
      <c r="EP134" s="43"/>
      <c r="EQ134" s="42">
        <f t="shared" ref="EQ134:EQ165" si="375">IF(DM134="","",$DF$10)</f>
        <v>448050</v>
      </c>
      <c r="ER134" s="42">
        <f t="shared" ref="ER134:ER165" si="376">IF(DM134="","",$DF$11)</f>
        <v>248100</v>
      </c>
      <c r="ES134" s="42">
        <f t="shared" si="341"/>
        <v>3733.75</v>
      </c>
      <c r="ET134" s="42">
        <f t="shared" si="342"/>
        <v>6122.9807692307695</v>
      </c>
      <c r="EU134" s="42">
        <f t="shared" ref="EU134:EU165" si="377">IF(DM134="","",ROUND(EQ134-EW134,0))</f>
        <v>29870</v>
      </c>
      <c r="EV134" s="42">
        <f t="shared" ref="EV134:EV165" si="378">IF(DM134="","",ROUND(ER134-EX134,0))</f>
        <v>39442</v>
      </c>
      <c r="EW134" s="42">
        <f>IF(DM134="","",IF(DS134&gt;0,DS134,EQ134-SUM($ES$6:ES134)+SUM($DS$6:DS134)))</f>
        <v>418180</v>
      </c>
      <c r="EX134" s="42">
        <f>IF(DM134="","",IF(DT134&gt;0,DT134,ER134-SUM($ET$6:ET134)+SUM($DT$6:DT134)))</f>
        <v>208658.4615384629</v>
      </c>
      <c r="EY134" s="43">
        <f t="shared" ref="EY134:EY165" si="379">IF(DM134="","",IF(EX134/ER134&gt;1,1,EX134/ER134))</f>
        <v>0.84102564102564648</v>
      </c>
      <c r="EZ134" s="43">
        <f t="shared" ref="EZ134:EZ165" si="380">IF(DM134="","",IF(EW134/EQ134&gt;1,1,EW134/EQ134))</f>
        <v>0.93333333333333335</v>
      </c>
      <c r="FA134" s="43"/>
      <c r="FB134" s="42">
        <f t="shared" ref="FB134:FB165" si="381">IF(DM134="","",IF(DM134&lt;=$GS$30,2*$DF$12,2*$DF$23))</f>
        <v>4935000</v>
      </c>
      <c r="FC134" s="42">
        <f t="shared" ref="FC134:FC165" si="382">IF(DM134="","",($DF$13)*2)</f>
        <v>5182000</v>
      </c>
      <c r="FD134" s="41">
        <f t="shared" si="343"/>
        <v>89960.9375</v>
      </c>
      <c r="FE134" s="41">
        <f t="shared" si="344"/>
        <v>32914.583333333336</v>
      </c>
      <c r="FF134" s="42">
        <f t="shared" ref="FF134:FF165" si="383">IF(DM134="","",ROUND(FB134-FH134,0))</f>
        <v>3829154</v>
      </c>
      <c r="FG134" s="42">
        <f t="shared" ref="FG134:FG165" si="384">IF(DM134="","",ROUND(FC134-FI134,0))</f>
        <v>2583637</v>
      </c>
      <c r="FH134" s="42">
        <f>IF(DM134="","",IF(DU134&gt;0,DU134,FB134-SUM($FD$6:FD134)+SUM($DU$6:DU134)))</f>
        <v>1105846.3541666642</v>
      </c>
      <c r="FI134" s="42">
        <f>IF(DM134="","",FC134-SUM($FE$6:FE134)+SUM($DV$6:DV134)-SUM($DW$6:DW134))</f>
        <v>2598363.3333333256</v>
      </c>
      <c r="FJ134" s="152">
        <f t="shared" ref="FJ134:FJ165" si="385">IF(DM134="","",IF((FH134+FI134)/(FB134+FC134)&gt;1,1,(FH134+FI134)/(FB134+FC134)))</f>
        <v>0.36613716393199464</v>
      </c>
      <c r="FN134" s="8"/>
      <c r="FO134" s="8"/>
      <c r="FP134" s="8"/>
      <c r="FQ134" s="8"/>
      <c r="FR134" s="8"/>
      <c r="FS134" s="8"/>
      <c r="FT134" s="8"/>
      <c r="FU134" s="8"/>
      <c r="GC134" s="68">
        <f t="shared" si="349"/>
        <v>129</v>
      </c>
      <c r="GD134" s="78">
        <f t="shared" si="350"/>
        <v>0</v>
      </c>
      <c r="GE134" s="309">
        <f t="shared" si="351"/>
        <v>0.36756244306939923</v>
      </c>
      <c r="GF134" s="78">
        <f t="shared" si="352"/>
        <v>0</v>
      </c>
      <c r="GG134" s="310">
        <f t="shared" si="353"/>
        <v>0.24680922146203965</v>
      </c>
      <c r="GH134" s="78">
        <f t="shared" si="354"/>
        <v>0</v>
      </c>
      <c r="GI134" s="310">
        <f t="shared" si="355"/>
        <v>0.92500000000000004</v>
      </c>
      <c r="GJ134" s="311">
        <f t="shared" si="356"/>
        <v>0</v>
      </c>
      <c r="GK134" s="310">
        <f t="shared" si="357"/>
        <v>0.81634615384615938</v>
      </c>
      <c r="GL134" s="311">
        <f t="shared" si="358"/>
        <v>0</v>
      </c>
      <c r="GM134" s="310">
        <f t="shared" si="359"/>
        <v>0.35399171361734277</v>
      </c>
      <c r="HD134" s="13"/>
      <c r="HE134" s="24"/>
      <c r="HF134" s="13"/>
      <c r="HG134" s="14"/>
      <c r="HH134" s="13"/>
      <c r="HI134" s="13"/>
      <c r="HJ134" s="13"/>
      <c r="HK134" s="13"/>
      <c r="HL134" s="13"/>
      <c r="HM134" s="14"/>
      <c r="HN134" s="13"/>
      <c r="HO134" s="13"/>
    </row>
    <row r="135" spans="3:223" x14ac:dyDescent="0.2">
      <c r="C135" s="426">
        <f t="shared" si="346"/>
        <v>43313</v>
      </c>
      <c r="D135" s="155">
        <f t="shared" si="347"/>
        <v>67</v>
      </c>
      <c r="E135" s="155">
        <f t="shared" si="345"/>
        <v>12307520</v>
      </c>
      <c r="F135" s="155"/>
      <c r="G135" s="438">
        <f t="shared" si="348"/>
        <v>124541.17521367522</v>
      </c>
      <c r="I135" s="444">
        <f>IF(D135="","",'Mx FORECAST'!DX73)</f>
        <v>7434958.7393162372</v>
      </c>
      <c r="J135" s="155">
        <f>IF(D135="","",'Mx FORECAST'!DP73)</f>
        <v>0</v>
      </c>
      <c r="K135" s="155">
        <f>IF(D135="","",'Mx FORECAST'!DQ73)</f>
        <v>0</v>
      </c>
      <c r="M135" s="155">
        <f>IF(D135="","",'Mx FORECAST'!DR73)</f>
        <v>0</v>
      </c>
      <c r="O135" s="155">
        <f>IF(D135="","",'Mx FORECAST'!DS73)</f>
        <v>0</v>
      </c>
      <c r="Q135" s="155">
        <f>IF(D135="","",'Mx FORECAST'!DT73)</f>
        <v>0</v>
      </c>
      <c r="S135" s="155">
        <f>IF(D135="","",'Mx FORECAST'!DU73)</f>
        <v>0</v>
      </c>
      <c r="U135" s="155">
        <f>IF(D135="","",'Mx FORECAST'!DV73)</f>
        <v>0</v>
      </c>
      <c r="W135" s="540">
        <f>IF(D135="","",'Mx FORECAST'!DY73)</f>
        <v>4872561.2606837628</v>
      </c>
      <c r="X135" s="540"/>
      <c r="Y135" s="437">
        <f>IF(D135="","",'Mx FORECAST'!DZ73)</f>
        <v>0.39590114504658636</v>
      </c>
      <c r="AD135" s="155"/>
      <c r="AF135" s="155"/>
      <c r="AH135" s="155"/>
      <c r="AJ135" s="155"/>
      <c r="AK135" s="8"/>
      <c r="AL135" s="8"/>
      <c r="AM135" s="8"/>
      <c r="AN135" s="8"/>
      <c r="AO135" s="8"/>
      <c r="AP135" s="8"/>
      <c r="AQ135" s="8"/>
      <c r="AR135" s="8"/>
      <c r="AS135" s="8"/>
      <c r="AT135" s="8"/>
      <c r="AU135" s="8"/>
      <c r="AV135" s="8"/>
      <c r="AW135" s="8"/>
      <c r="AX135" s="8"/>
      <c r="AY135" s="8"/>
      <c r="AZ135" s="8"/>
      <c r="BZ135" s="9"/>
      <c r="CA135" s="9"/>
      <c r="CB135" s="9"/>
      <c r="DM135" s="44">
        <f t="shared" ref="DM135:DM166" si="386">IF(DM134="","",IF(DM134&gt;=$FW$23,"",DM134+1))</f>
        <v>129</v>
      </c>
      <c r="DN135" s="41">
        <f t="shared" si="360"/>
        <v>12666583.5</v>
      </c>
      <c r="DO135" s="41">
        <f t="shared" ref="DO135:DO166" si="387">IF(DM135="","",SUM(EF135:EH135)+SUM(ES135:ET135)+SUM(FD135:FE135))</f>
        <v>163228.55021367522</v>
      </c>
      <c r="DP135" s="42">
        <f t="shared" si="361"/>
        <v>0</v>
      </c>
      <c r="DQ135" s="42">
        <f t="shared" si="362"/>
        <v>0</v>
      </c>
      <c r="DR135" s="42">
        <f t="shared" si="363"/>
        <v>0</v>
      </c>
      <c r="DS135" s="42">
        <f t="shared" si="364"/>
        <v>0</v>
      </c>
      <c r="DT135" s="42">
        <f t="shared" si="365"/>
        <v>0</v>
      </c>
      <c r="DU135" s="42">
        <f t="shared" si="366"/>
        <v>0</v>
      </c>
      <c r="DV135" s="42">
        <f t="shared" si="367"/>
        <v>0</v>
      </c>
      <c r="DW135" s="42">
        <f t="shared" si="368"/>
        <v>0</v>
      </c>
      <c r="DX135" s="42">
        <f t="shared" si="369"/>
        <v>8010823.1233974583</v>
      </c>
      <c r="DY135" s="42">
        <f>IF(DM135="",DY134,DN135-SUM($DO$6:DO135)+SUM($DP$6:DV135)-SUM($DW$6:DW135))</f>
        <v>4655760.3766025417</v>
      </c>
      <c r="DZ135" s="43">
        <f t="shared" ref="DZ135:DZ166" si="388">IF(DM135="",DZ134,IF(DY135/DN135&gt;1,1,DY135/DN135))</f>
        <v>0.36756244306939923</v>
      </c>
      <c r="EA135" s="43"/>
      <c r="EB135" s="43" t="str">
        <f t="shared" si="295"/>
        <v>False</v>
      </c>
      <c r="EC135" s="41">
        <f t="shared" ref="EC135:EC186" si="389">IF(DM135="","",IF(AND(DM135&lt;=$DI$8,EB135="True"),$DF$6,IF(AND(DM135&lt;=$DI$8,EB135="False"),$DF$7,IF(AND(DM135&gt;$DI$8,EB135="True"),$DF$17,$DF$18))))</f>
        <v>264480</v>
      </c>
      <c r="ED135" s="41">
        <f t="shared" ref="ED135:ED186" si="390">IF(DM135="","",IF(DM135&lt;=$DI$8,$DF$8,$DF$19))</f>
        <v>686673.49999999988</v>
      </c>
      <c r="EE135" s="41">
        <f t="shared" si="370"/>
        <v>902280</v>
      </c>
      <c r="EF135" s="41">
        <f t="shared" ref="EF135:EF166" si="391">IF(DM135="","",IF(AND(DM135&lt;=$DI$8,EB135="True"),$GA$4*$DK$6,IF(AND(DM135&lt;=$DI$8,EB135="False"),$GA$4*$DK$7,IF(AND(DM135&gt;$DI$8,EB135="True"),$GA$4*$DK$17,$GA$4*$DK$18))))</f>
        <v>14693.333333333334</v>
      </c>
      <c r="EG135" s="42">
        <f t="shared" ref="EG135:EG166" si="392">IF(DM135="","",IF(DM135&lt;=$DI$8,$GA$4*$DK$8,$GA$4*$DK$19))</f>
        <v>9537.1319444444434</v>
      </c>
      <c r="EH135" s="42">
        <f t="shared" ref="EH135:EH166" si="393">IF(DM135="","",IF(DM135&lt;=$DI$9,$GA$4*$DK$9,$GA$4*$DK$20))</f>
        <v>6265.8333333333321</v>
      </c>
      <c r="EI135" s="42">
        <f t="shared" si="371"/>
        <v>44080</v>
      </c>
      <c r="EJ135" s="42">
        <f t="shared" si="372"/>
        <v>543617</v>
      </c>
      <c r="EK135" s="42">
        <f t="shared" si="373"/>
        <v>808293</v>
      </c>
      <c r="EL135" s="42">
        <f>IF(DM135="","",EC135-SUM($EF$6:EF135)+SUM($DP$6:DP135))</f>
        <v>220400.0000000007</v>
      </c>
      <c r="EM135" s="42">
        <f>IF(DM135="","",ED135-SUM($EG$6:EG135)+SUM($DQ$6:DQ135))</f>
        <v>143056.9791666636</v>
      </c>
      <c r="EN135" s="42">
        <f>IF(DM135="","",EE135-SUM($EH$6:EH135)+SUM($DR$6:DR135))</f>
        <v>93987.499999998952</v>
      </c>
      <c r="EO135" s="152">
        <f t="shared" si="374"/>
        <v>0.24680922146203965</v>
      </c>
      <c r="EP135" s="43"/>
      <c r="EQ135" s="42">
        <f t="shared" si="375"/>
        <v>448050</v>
      </c>
      <c r="ER135" s="42">
        <f t="shared" si="376"/>
        <v>248100</v>
      </c>
      <c r="ES135" s="42">
        <f t="shared" ref="ES135:ES166" si="394">IF(DM135="","",$GA$4*$DK$10)</f>
        <v>3733.75</v>
      </c>
      <c r="ET135" s="42">
        <f t="shared" ref="ET135:ET166" si="395">IF(DM135="","",$GA$4*$DK$11)</f>
        <v>6122.9807692307695</v>
      </c>
      <c r="EU135" s="42">
        <f t="shared" si="377"/>
        <v>33604</v>
      </c>
      <c r="EV135" s="42">
        <f t="shared" si="378"/>
        <v>45565</v>
      </c>
      <c r="EW135" s="42">
        <f>IF(DM135="","",IF(DS135&gt;0,DS135,EQ135-SUM($ES$6:ES135)+SUM($DS$6:DS135)))</f>
        <v>414446.25</v>
      </c>
      <c r="EX135" s="42">
        <f>IF(DM135="","",IF(DT135&gt;0,DT135,ER135-SUM($ET$6:ET135)+SUM($DT$6:DT135)))</f>
        <v>202535.48076923215</v>
      </c>
      <c r="EY135" s="43">
        <f t="shared" si="379"/>
        <v>0.81634615384615938</v>
      </c>
      <c r="EZ135" s="43">
        <f t="shared" si="380"/>
        <v>0.92500000000000004</v>
      </c>
      <c r="FA135" s="43"/>
      <c r="FB135" s="42">
        <f t="shared" si="381"/>
        <v>4935000</v>
      </c>
      <c r="FC135" s="42">
        <f t="shared" si="382"/>
        <v>5182000</v>
      </c>
      <c r="FD135" s="41">
        <f t="shared" ref="FD135:FD166" si="396">IF(DM135="","",IF(DM135&lt;=$GA$8,$GA$4*$DK$12,$GA$4*$DK$23))</f>
        <v>89960.9375</v>
      </c>
      <c r="FE135" s="41">
        <f t="shared" ref="FE135:FE166" si="397">IF(DM135="","",$GA$4*($DK$24))</f>
        <v>32914.583333333336</v>
      </c>
      <c r="FF135" s="42">
        <f t="shared" si="383"/>
        <v>3919115</v>
      </c>
      <c r="FG135" s="42">
        <f t="shared" si="384"/>
        <v>2616551</v>
      </c>
      <c r="FH135" s="42">
        <f>IF(DM135="","",IF(DU135&gt;0,DU135,FB135-SUM($FD$6:FD135)+SUM($DU$6:DU135)))</f>
        <v>1015885.4166666642</v>
      </c>
      <c r="FI135" s="42">
        <f>IF(DM135="","",FC135-SUM($FE$6:FE135)+SUM($DV$6:DV135)-SUM($DW$6:DW135))</f>
        <v>2565448.7499999925</v>
      </c>
      <c r="FJ135" s="152">
        <f t="shared" si="385"/>
        <v>0.35399171361734277</v>
      </c>
      <c r="FN135" s="8"/>
      <c r="FO135" s="8"/>
      <c r="FP135" s="8"/>
      <c r="FQ135" s="8"/>
      <c r="FR135" s="8"/>
      <c r="FS135" s="8"/>
      <c r="FT135" s="8"/>
      <c r="FU135" s="8"/>
      <c r="GC135" s="68">
        <f t="shared" si="349"/>
        <v>130</v>
      </c>
      <c r="GD135" s="78">
        <f t="shared" si="350"/>
        <v>0</v>
      </c>
      <c r="GE135" s="309">
        <f t="shared" si="351"/>
        <v>0.35467589396847743</v>
      </c>
      <c r="GF135" s="78">
        <f t="shared" si="352"/>
        <v>0</v>
      </c>
      <c r="GG135" s="310">
        <f t="shared" si="353"/>
        <v>0.23035527336457021</v>
      </c>
      <c r="GH135" s="78">
        <f t="shared" si="354"/>
        <v>0</v>
      </c>
      <c r="GI135" s="310">
        <f t="shared" si="355"/>
        <v>0.91666666666666663</v>
      </c>
      <c r="GJ135" s="311">
        <f t="shared" si="356"/>
        <v>0</v>
      </c>
      <c r="GK135" s="310">
        <f t="shared" si="357"/>
        <v>0.79166666666667229</v>
      </c>
      <c r="GL135" s="311">
        <f t="shared" si="358"/>
        <v>0</v>
      </c>
      <c r="GM135" s="310">
        <f t="shared" si="359"/>
        <v>0.34184626330269091</v>
      </c>
      <c r="HD135" s="13"/>
      <c r="HE135" s="24"/>
      <c r="HF135" s="13"/>
      <c r="HG135" s="14"/>
      <c r="HH135" s="13"/>
      <c r="HI135" s="13"/>
      <c r="HJ135" s="13"/>
      <c r="HK135" s="13"/>
      <c r="HL135" s="13"/>
      <c r="HM135" s="14"/>
      <c r="HN135" s="13"/>
      <c r="HO135" s="13"/>
    </row>
    <row r="136" spans="3:223" x14ac:dyDescent="0.2">
      <c r="C136" s="426">
        <f t="shared" si="346"/>
        <v>43344</v>
      </c>
      <c r="D136" s="155">
        <f t="shared" si="347"/>
        <v>68</v>
      </c>
      <c r="E136" s="155">
        <f t="shared" si="345"/>
        <v>12307520</v>
      </c>
      <c r="F136" s="155"/>
      <c r="G136" s="438">
        <f t="shared" si="348"/>
        <v>124541.17521367522</v>
      </c>
      <c r="I136" s="444">
        <f>IF(D136="","",'Mx FORECAST'!DX74)</f>
        <v>7559499.9145299122</v>
      </c>
      <c r="J136" s="155">
        <f>IF(D136="","",'Mx FORECAST'!DP74)</f>
        <v>0</v>
      </c>
      <c r="K136" s="155">
        <f>IF(D136="","",'Mx FORECAST'!DQ74)</f>
        <v>0</v>
      </c>
      <c r="M136" s="155">
        <f>IF(D136="","",'Mx FORECAST'!DR74)</f>
        <v>0</v>
      </c>
      <c r="O136" s="155">
        <f>IF(D136="","",'Mx FORECAST'!DS74)</f>
        <v>0</v>
      </c>
      <c r="Q136" s="155">
        <f>IF(D136="","",'Mx FORECAST'!DT74)</f>
        <v>0</v>
      </c>
      <c r="S136" s="155">
        <f>IF(D136="","",'Mx FORECAST'!DU74)</f>
        <v>0</v>
      </c>
      <c r="U136" s="155">
        <f>IF(D136="","",'Mx FORECAST'!DV74)</f>
        <v>0</v>
      </c>
      <c r="W136" s="540">
        <f>IF(D136="","",'Mx FORECAST'!DY74)</f>
        <v>4748020.0854700878</v>
      </c>
      <c r="X136" s="540"/>
      <c r="Y136" s="437">
        <f>IF(D136="","",'Mx FORECAST'!DZ74)</f>
        <v>0.38578203289290514</v>
      </c>
      <c r="AD136" s="155"/>
      <c r="AF136" s="155"/>
      <c r="AH136" s="155"/>
      <c r="AJ136" s="155"/>
      <c r="AK136" s="8"/>
      <c r="AL136" s="8"/>
      <c r="AM136" s="8"/>
      <c r="AN136" s="8"/>
      <c r="AO136" s="8"/>
      <c r="AP136" s="8"/>
      <c r="AQ136" s="8"/>
      <c r="AR136" s="8"/>
      <c r="AS136" s="8"/>
      <c r="AT136" s="8"/>
      <c r="AU136" s="8"/>
      <c r="AV136" s="8"/>
      <c r="AW136" s="8"/>
      <c r="AX136" s="8"/>
      <c r="AY136" s="8"/>
      <c r="AZ136" s="8"/>
      <c r="BZ136" s="9"/>
      <c r="CA136" s="9"/>
      <c r="CB136" s="9"/>
      <c r="DM136" s="44">
        <f t="shared" si="386"/>
        <v>130</v>
      </c>
      <c r="DN136" s="41">
        <f t="shared" si="360"/>
        <v>12666583.5</v>
      </c>
      <c r="DO136" s="41">
        <f t="shared" si="387"/>
        <v>163228.55021367522</v>
      </c>
      <c r="DP136" s="42">
        <f t="shared" si="361"/>
        <v>0</v>
      </c>
      <c r="DQ136" s="42">
        <f t="shared" si="362"/>
        <v>0</v>
      </c>
      <c r="DR136" s="42">
        <f t="shared" si="363"/>
        <v>0</v>
      </c>
      <c r="DS136" s="42">
        <f t="shared" si="364"/>
        <v>0</v>
      </c>
      <c r="DT136" s="42">
        <f t="shared" si="365"/>
        <v>0</v>
      </c>
      <c r="DU136" s="42">
        <f t="shared" si="366"/>
        <v>0</v>
      </c>
      <c r="DV136" s="42">
        <f t="shared" si="367"/>
        <v>0</v>
      </c>
      <c r="DW136" s="42">
        <f t="shared" si="368"/>
        <v>0</v>
      </c>
      <c r="DX136" s="42">
        <f t="shared" si="369"/>
        <v>8174051.6736111343</v>
      </c>
      <c r="DY136" s="42">
        <f>IF(DM136="",DY135,DN136-SUM($DO$6:DO136)+SUM($DP$6:DV136)-SUM($DW$6:DW136))</f>
        <v>4492531.8263888657</v>
      </c>
      <c r="DZ136" s="43">
        <f t="shared" si="388"/>
        <v>0.35467589396847743</v>
      </c>
      <c r="EA136" s="43"/>
      <c r="EB136" s="43" t="str">
        <f t="shared" ref="EB136:EB186" si="398">IF(DM136="","",IF(DM136&lt;=$DI$6,"True",IF(AND(DM136&gt;$DI$6,DM136&lt;=2*$DI$6),"False",IF(AND(DM136&gt;2*$DI$6,DM136&lt;=3*$DI$6),"True",IF(AND(DM136&gt;3*$DI$6,DM136&lt;=4*$DI$6),"False",IF(AND(DM136&gt;4*$DI$6,DM136&lt;=5*$DI$6),"True",IF(AND(DM136&gt;5*$DI$6,DM136&lt;=6*$DI$6),"False",IF(AND(DM136&gt;6*$DI$6,DM136&lt;=7*$DI$6),"True",IF(AND(DM136&gt;7*$DI$6,DM136&lt;=8*$DI$6),"False",IF(AND(DM136&gt;8*$DI$6,DM136&lt;=9*$DI$6),"True",IF(AND(DM136&gt;9*$DI$6,DM136&lt;=10*$DI$6),"False","True")))))))))))</f>
        <v>False</v>
      </c>
      <c r="EC136" s="41">
        <f t="shared" si="389"/>
        <v>264480</v>
      </c>
      <c r="ED136" s="41">
        <f t="shared" si="390"/>
        <v>686673.49999999988</v>
      </c>
      <c r="EE136" s="41">
        <f t="shared" si="370"/>
        <v>902280</v>
      </c>
      <c r="EF136" s="41">
        <f t="shared" si="391"/>
        <v>14693.333333333334</v>
      </c>
      <c r="EG136" s="42">
        <f t="shared" si="392"/>
        <v>9537.1319444444434</v>
      </c>
      <c r="EH136" s="42">
        <f t="shared" si="393"/>
        <v>6265.8333333333321</v>
      </c>
      <c r="EI136" s="42">
        <f t="shared" si="371"/>
        <v>58773</v>
      </c>
      <c r="EJ136" s="42">
        <f t="shared" si="372"/>
        <v>553154</v>
      </c>
      <c r="EK136" s="42">
        <f t="shared" si="373"/>
        <v>814558</v>
      </c>
      <c r="EL136" s="42">
        <f>IF(DM136="","",EC136-SUM($EF$6:EF136)+SUM($DP$6:DP136))</f>
        <v>205706.66666666744</v>
      </c>
      <c r="EM136" s="42">
        <f>IF(DM136="","",ED136-SUM($EG$6:EG136)+SUM($DQ$6:DQ136))</f>
        <v>133519.8472222191</v>
      </c>
      <c r="EN136" s="42">
        <f>IF(DM136="","",EE136-SUM($EH$6:EH136)+SUM($DR$6:DR136))</f>
        <v>87721.66666666558</v>
      </c>
      <c r="EO136" s="152">
        <f t="shared" si="374"/>
        <v>0.23035527336457021</v>
      </c>
      <c r="EP136" s="43"/>
      <c r="EQ136" s="42">
        <f t="shared" si="375"/>
        <v>448050</v>
      </c>
      <c r="ER136" s="42">
        <f t="shared" si="376"/>
        <v>248100</v>
      </c>
      <c r="ES136" s="42">
        <f t="shared" si="394"/>
        <v>3733.75</v>
      </c>
      <c r="ET136" s="42">
        <f t="shared" si="395"/>
        <v>6122.9807692307695</v>
      </c>
      <c r="EU136" s="42">
        <f t="shared" si="377"/>
        <v>37338</v>
      </c>
      <c r="EV136" s="42">
        <f t="shared" si="378"/>
        <v>51687</v>
      </c>
      <c r="EW136" s="42">
        <f>IF(DM136="","",IF(DS136&gt;0,DS136,EQ136-SUM($ES$6:ES136)+SUM($DS$6:DS136)))</f>
        <v>410712.5</v>
      </c>
      <c r="EX136" s="42">
        <f>IF(DM136="","",IF(DT136&gt;0,DT136,ER136-SUM($ET$6:ET136)+SUM($DT$6:DT136)))</f>
        <v>196412.5000000014</v>
      </c>
      <c r="EY136" s="43">
        <f t="shared" si="379"/>
        <v>0.79166666666667229</v>
      </c>
      <c r="EZ136" s="43">
        <f t="shared" si="380"/>
        <v>0.91666666666666663</v>
      </c>
      <c r="FA136" s="43"/>
      <c r="FB136" s="42">
        <f t="shared" si="381"/>
        <v>4935000</v>
      </c>
      <c r="FC136" s="42">
        <f t="shared" si="382"/>
        <v>5182000</v>
      </c>
      <c r="FD136" s="41">
        <f t="shared" si="396"/>
        <v>89960.9375</v>
      </c>
      <c r="FE136" s="41">
        <f t="shared" si="397"/>
        <v>32914.583333333336</v>
      </c>
      <c r="FF136" s="42">
        <f t="shared" si="383"/>
        <v>4009076</v>
      </c>
      <c r="FG136" s="42">
        <f t="shared" si="384"/>
        <v>2649466</v>
      </c>
      <c r="FH136" s="42">
        <f>IF(DM136="","",IF(DU136&gt;0,DU136,FB136-SUM($FD$6:FD136)+SUM($DU$6:DU136)))</f>
        <v>925924.47916666418</v>
      </c>
      <c r="FI136" s="42">
        <f>IF(DM136="","",FC136-SUM($FE$6:FE136)+SUM($DV$6:DV136)-SUM($DW$6:DW136))</f>
        <v>2532534.1666666595</v>
      </c>
      <c r="FJ136" s="152">
        <f t="shared" si="385"/>
        <v>0.34184626330269091</v>
      </c>
      <c r="FN136" s="8"/>
      <c r="FO136" s="8"/>
      <c r="FP136" s="8"/>
      <c r="FQ136" s="8"/>
      <c r="FR136" s="8"/>
      <c r="FS136" s="8"/>
      <c r="FT136" s="8"/>
      <c r="FU136" s="8"/>
      <c r="GC136" s="68">
        <f t="shared" si="349"/>
        <v>131</v>
      </c>
      <c r="GD136" s="78">
        <f t="shared" si="350"/>
        <v>0</v>
      </c>
      <c r="GE136" s="309">
        <f t="shared" si="351"/>
        <v>0.34178934486755563</v>
      </c>
      <c r="GF136" s="78">
        <f t="shared" si="352"/>
        <v>0</v>
      </c>
      <c r="GG136" s="310">
        <f t="shared" si="353"/>
        <v>0.21390132526710076</v>
      </c>
      <c r="GH136" s="78">
        <f t="shared" si="354"/>
        <v>0</v>
      </c>
      <c r="GI136" s="310">
        <f t="shared" si="355"/>
        <v>0.90833333333333333</v>
      </c>
      <c r="GJ136" s="311">
        <f t="shared" si="356"/>
        <v>0</v>
      </c>
      <c r="GK136" s="310">
        <f t="shared" si="357"/>
        <v>0.7669871794871852</v>
      </c>
      <c r="GL136" s="311">
        <f t="shared" si="358"/>
        <v>0</v>
      </c>
      <c r="GM136" s="310">
        <f t="shared" si="359"/>
        <v>0.32970081298803899</v>
      </c>
      <c r="HD136" s="13"/>
      <c r="HE136" s="24"/>
      <c r="HF136" s="13"/>
      <c r="HG136" s="14"/>
      <c r="HH136" s="13"/>
      <c r="HI136" s="13"/>
      <c r="HJ136" s="13"/>
      <c r="HK136" s="13"/>
      <c r="HL136" s="13"/>
      <c r="HM136" s="14"/>
      <c r="HN136" s="13"/>
      <c r="HO136" s="13"/>
    </row>
    <row r="137" spans="3:223" x14ac:dyDescent="0.2">
      <c r="C137" s="426">
        <f t="shared" si="346"/>
        <v>43374</v>
      </c>
      <c r="D137" s="155">
        <f t="shared" si="347"/>
        <v>69</v>
      </c>
      <c r="E137" s="155">
        <f t="shared" si="345"/>
        <v>12307520</v>
      </c>
      <c r="F137" s="155"/>
      <c r="G137" s="438">
        <f t="shared" si="348"/>
        <v>124541.17521367522</v>
      </c>
      <c r="I137" s="444">
        <f>IF(D137="","",'Mx FORECAST'!DX75)</f>
        <v>7684041.0897435881</v>
      </c>
      <c r="J137" s="155">
        <f>IF(D137="","",'Mx FORECAST'!DP75)</f>
        <v>0</v>
      </c>
      <c r="K137" s="155">
        <f>IF(D137="","",'Mx FORECAST'!DQ75)</f>
        <v>0</v>
      </c>
      <c r="M137" s="155">
        <f>IF(D137="","",'Mx FORECAST'!DR75)</f>
        <v>0</v>
      </c>
      <c r="O137" s="155">
        <f>IF(D137="","",'Mx FORECAST'!DS75)</f>
        <v>0</v>
      </c>
      <c r="Q137" s="155">
        <f>IF(D137="","",'Mx FORECAST'!DT75)</f>
        <v>0</v>
      </c>
      <c r="S137" s="155">
        <f>IF(D137="","",'Mx FORECAST'!DU75)</f>
        <v>0</v>
      </c>
      <c r="U137" s="155">
        <f>IF(D137="","",'Mx FORECAST'!DV75)</f>
        <v>0</v>
      </c>
      <c r="W137" s="540">
        <f>IF(D137="","",'Mx FORECAST'!DY75)</f>
        <v>4623478.9102564119</v>
      </c>
      <c r="X137" s="540"/>
      <c r="Y137" s="437">
        <f>IF(D137="","",'Mx FORECAST'!DZ75)</f>
        <v>0.3756629207392238</v>
      </c>
      <c r="AD137" s="155"/>
      <c r="AF137" s="155"/>
      <c r="AH137" s="155"/>
      <c r="AJ137" s="155"/>
      <c r="AK137" s="8"/>
      <c r="AL137" s="8"/>
      <c r="AM137" s="8"/>
      <c r="AN137" s="8"/>
      <c r="AO137" s="8"/>
      <c r="AP137" s="8"/>
      <c r="AQ137" s="8"/>
      <c r="AR137" s="8"/>
      <c r="AS137" s="8"/>
      <c r="AT137" s="8"/>
      <c r="AU137" s="8"/>
      <c r="AV137" s="8"/>
      <c r="AW137" s="8"/>
      <c r="AX137" s="8"/>
      <c r="AY137" s="8"/>
      <c r="AZ137" s="8"/>
      <c r="BZ137" s="9"/>
      <c r="CA137" s="9"/>
      <c r="CB137" s="9"/>
      <c r="DM137" s="44">
        <f t="shared" si="386"/>
        <v>131</v>
      </c>
      <c r="DN137" s="41">
        <f t="shared" si="360"/>
        <v>12666583.5</v>
      </c>
      <c r="DO137" s="41">
        <f t="shared" si="387"/>
        <v>163228.55021367522</v>
      </c>
      <c r="DP137" s="42">
        <f t="shared" si="361"/>
        <v>0</v>
      </c>
      <c r="DQ137" s="42">
        <f t="shared" si="362"/>
        <v>0</v>
      </c>
      <c r="DR137" s="42">
        <f t="shared" si="363"/>
        <v>0</v>
      </c>
      <c r="DS137" s="42">
        <f t="shared" si="364"/>
        <v>0</v>
      </c>
      <c r="DT137" s="42">
        <f t="shared" si="365"/>
        <v>0</v>
      </c>
      <c r="DU137" s="42">
        <f t="shared" si="366"/>
        <v>0</v>
      </c>
      <c r="DV137" s="42">
        <f t="shared" si="367"/>
        <v>0</v>
      </c>
      <c r="DW137" s="42">
        <f t="shared" si="368"/>
        <v>0</v>
      </c>
      <c r="DX137" s="42">
        <f t="shared" si="369"/>
        <v>8337280.2238248102</v>
      </c>
      <c r="DY137" s="42">
        <f>IF(DM137="",DY136,DN137-SUM($DO$6:DO137)+SUM($DP$6:DV137)-SUM($DW$6:DW137))</f>
        <v>4329303.2761751898</v>
      </c>
      <c r="DZ137" s="43">
        <f t="shared" si="388"/>
        <v>0.34178934486755563</v>
      </c>
      <c r="EA137" s="43"/>
      <c r="EB137" s="43" t="str">
        <f t="shared" si="398"/>
        <v>False</v>
      </c>
      <c r="EC137" s="41">
        <f t="shared" si="389"/>
        <v>264480</v>
      </c>
      <c r="ED137" s="41">
        <f t="shared" si="390"/>
        <v>686673.49999999988</v>
      </c>
      <c r="EE137" s="41">
        <f t="shared" si="370"/>
        <v>902280</v>
      </c>
      <c r="EF137" s="41">
        <f t="shared" si="391"/>
        <v>14693.333333333334</v>
      </c>
      <c r="EG137" s="42">
        <f t="shared" si="392"/>
        <v>9537.1319444444434</v>
      </c>
      <c r="EH137" s="42">
        <f t="shared" si="393"/>
        <v>6265.8333333333321</v>
      </c>
      <c r="EI137" s="42">
        <f t="shared" si="371"/>
        <v>73467</v>
      </c>
      <c r="EJ137" s="42">
        <f t="shared" si="372"/>
        <v>562691</v>
      </c>
      <c r="EK137" s="42">
        <f t="shared" si="373"/>
        <v>820824</v>
      </c>
      <c r="EL137" s="42">
        <f>IF(DM137="","",EC137-SUM($EF$6:EF137)+SUM($DP$6:DP137))</f>
        <v>191013.33333333419</v>
      </c>
      <c r="EM137" s="42">
        <f>IF(DM137="","",ED137-SUM($EG$6:EG137)+SUM($DQ$6:DQ137))</f>
        <v>123982.71527777461</v>
      </c>
      <c r="EN137" s="42">
        <f>IF(DM137="","",EE137-SUM($EH$6:EH137)+SUM($DR$6:DR137))</f>
        <v>81455.833333332208</v>
      </c>
      <c r="EO137" s="152">
        <f t="shared" si="374"/>
        <v>0.21390132526710076</v>
      </c>
      <c r="EP137" s="43"/>
      <c r="EQ137" s="42">
        <f t="shared" si="375"/>
        <v>448050</v>
      </c>
      <c r="ER137" s="42">
        <f t="shared" si="376"/>
        <v>248100</v>
      </c>
      <c r="ES137" s="42">
        <f t="shared" si="394"/>
        <v>3733.75</v>
      </c>
      <c r="ET137" s="42">
        <f t="shared" si="395"/>
        <v>6122.9807692307695</v>
      </c>
      <c r="EU137" s="42">
        <f t="shared" si="377"/>
        <v>41071</v>
      </c>
      <c r="EV137" s="42">
        <f t="shared" si="378"/>
        <v>57810</v>
      </c>
      <c r="EW137" s="42">
        <f>IF(DM137="","",IF(DS137&gt;0,DS137,EQ137-SUM($ES$6:ES137)+SUM($DS$6:DS137)))</f>
        <v>406978.75</v>
      </c>
      <c r="EX137" s="42">
        <f>IF(DM137="","",IF(DT137&gt;0,DT137,ER137-SUM($ET$6:ET137)+SUM($DT$6:DT137)))</f>
        <v>190289.51923077065</v>
      </c>
      <c r="EY137" s="43">
        <f t="shared" si="379"/>
        <v>0.7669871794871852</v>
      </c>
      <c r="EZ137" s="43">
        <f t="shared" si="380"/>
        <v>0.90833333333333333</v>
      </c>
      <c r="FA137" s="43"/>
      <c r="FB137" s="42">
        <f t="shared" si="381"/>
        <v>4935000</v>
      </c>
      <c r="FC137" s="42">
        <f t="shared" si="382"/>
        <v>5182000</v>
      </c>
      <c r="FD137" s="41">
        <f t="shared" si="396"/>
        <v>89960.9375</v>
      </c>
      <c r="FE137" s="41">
        <f t="shared" si="397"/>
        <v>32914.583333333336</v>
      </c>
      <c r="FF137" s="42">
        <f t="shared" si="383"/>
        <v>4099036</v>
      </c>
      <c r="FG137" s="42">
        <f t="shared" si="384"/>
        <v>2682380</v>
      </c>
      <c r="FH137" s="42">
        <f>IF(DM137="","",IF(DU137&gt;0,DU137,FB137-SUM($FD$6:FD137)+SUM($DU$6:DU137)))</f>
        <v>835963.54166666418</v>
      </c>
      <c r="FI137" s="42">
        <f>IF(DM137="","",FC137-SUM($FE$6:FE137)+SUM($DV$6:DV137)-SUM($DW$6:DW137))</f>
        <v>2499619.5833333265</v>
      </c>
      <c r="FJ137" s="152">
        <f t="shared" si="385"/>
        <v>0.32970081298803899</v>
      </c>
      <c r="FN137" s="8"/>
      <c r="FO137" s="8"/>
      <c r="FP137" s="8"/>
      <c r="FQ137" s="8"/>
      <c r="FR137" s="8"/>
      <c r="FS137" s="8"/>
      <c r="FT137" s="8"/>
      <c r="FU137" s="8"/>
      <c r="GC137" s="68">
        <f t="shared" si="349"/>
        <v>132</v>
      </c>
      <c r="GD137" s="78">
        <f t="shared" si="350"/>
        <v>0</v>
      </c>
      <c r="GE137" s="309">
        <f t="shared" si="351"/>
        <v>0.32890279576663384</v>
      </c>
      <c r="GF137" s="78">
        <f t="shared" si="352"/>
        <v>0</v>
      </c>
      <c r="GG137" s="310">
        <f t="shared" si="353"/>
        <v>0.19744737716963132</v>
      </c>
      <c r="GH137" s="78">
        <f t="shared" si="354"/>
        <v>0</v>
      </c>
      <c r="GI137" s="310">
        <f t="shared" si="355"/>
        <v>0.9</v>
      </c>
      <c r="GJ137" s="311">
        <f t="shared" si="356"/>
        <v>0</v>
      </c>
      <c r="GK137" s="310">
        <f t="shared" si="357"/>
        <v>0.74230769230769811</v>
      </c>
      <c r="GL137" s="311">
        <f t="shared" si="358"/>
        <v>0</v>
      </c>
      <c r="GM137" s="310">
        <f t="shared" si="359"/>
        <v>0.31755536267338713</v>
      </c>
      <c r="HD137" s="13"/>
      <c r="HE137" s="24"/>
      <c r="HF137" s="13"/>
      <c r="HG137" s="14"/>
      <c r="HH137" s="13"/>
      <c r="HI137" s="13"/>
      <c r="HJ137" s="13"/>
      <c r="HK137" s="13"/>
      <c r="HL137" s="13"/>
      <c r="HM137" s="14"/>
      <c r="HN137" s="13"/>
      <c r="HO137" s="13"/>
    </row>
    <row r="138" spans="3:223" x14ac:dyDescent="0.2">
      <c r="C138" s="426">
        <f t="shared" si="346"/>
        <v>43405</v>
      </c>
      <c r="D138" s="155">
        <f t="shared" si="347"/>
        <v>70</v>
      </c>
      <c r="E138" s="155">
        <f t="shared" si="345"/>
        <v>12307520</v>
      </c>
      <c r="F138" s="155"/>
      <c r="G138" s="438">
        <f t="shared" si="348"/>
        <v>124541.17521367522</v>
      </c>
      <c r="I138" s="444">
        <f>IF(D138="","",'Mx FORECAST'!DX76)</f>
        <v>7808582.2649572641</v>
      </c>
      <c r="J138" s="155">
        <f>IF(D138="","",'Mx FORECAST'!DP76)</f>
        <v>0</v>
      </c>
      <c r="K138" s="155">
        <f>IF(D138="","",'Mx FORECAST'!DQ76)</f>
        <v>0</v>
      </c>
      <c r="M138" s="155">
        <f>IF(D138="","",'Mx FORECAST'!DR76)</f>
        <v>0</v>
      </c>
      <c r="O138" s="155">
        <f>IF(D138="","",'Mx FORECAST'!DS76)</f>
        <v>0</v>
      </c>
      <c r="Q138" s="155">
        <f>IF(D138="","",'Mx FORECAST'!DT76)</f>
        <v>0</v>
      </c>
      <c r="S138" s="155">
        <f>IF(D138="","",'Mx FORECAST'!DU76)</f>
        <v>0</v>
      </c>
      <c r="U138" s="155">
        <f>IF(D138="","",'Mx FORECAST'!DV76)</f>
        <v>0</v>
      </c>
      <c r="W138" s="540">
        <f>IF(D138="","",'Mx FORECAST'!DY76)</f>
        <v>4498937.7350427359</v>
      </c>
      <c r="X138" s="540"/>
      <c r="Y138" s="437">
        <f>IF(D138="","",'Mx FORECAST'!DZ76)</f>
        <v>0.36554380858554247</v>
      </c>
      <c r="AD138" s="155"/>
      <c r="AF138" s="155"/>
      <c r="AH138" s="155"/>
      <c r="AJ138" s="155"/>
      <c r="AK138" s="8"/>
      <c r="AL138" s="8"/>
      <c r="AM138" s="8"/>
      <c r="AN138" s="8"/>
      <c r="AO138" s="8"/>
      <c r="AP138" s="8"/>
      <c r="AQ138" s="8"/>
      <c r="AR138" s="8"/>
      <c r="AS138" s="8"/>
      <c r="AT138" s="8"/>
      <c r="AU138" s="8"/>
      <c r="AV138" s="8"/>
      <c r="AW138" s="8"/>
      <c r="AX138" s="8"/>
      <c r="AY138" s="8"/>
      <c r="AZ138" s="8"/>
      <c r="BZ138" s="9"/>
      <c r="CA138" s="9"/>
      <c r="CB138" s="9"/>
      <c r="DM138" s="44">
        <f t="shared" si="386"/>
        <v>132</v>
      </c>
      <c r="DN138" s="41">
        <f t="shared" si="360"/>
        <v>12666583.5</v>
      </c>
      <c r="DO138" s="41">
        <f t="shared" si="387"/>
        <v>163228.55021367522</v>
      </c>
      <c r="DP138" s="42">
        <f t="shared" si="361"/>
        <v>0</v>
      </c>
      <c r="DQ138" s="42">
        <f t="shared" si="362"/>
        <v>0</v>
      </c>
      <c r="DR138" s="42">
        <f t="shared" si="363"/>
        <v>0</v>
      </c>
      <c r="DS138" s="42">
        <f t="shared" si="364"/>
        <v>0</v>
      </c>
      <c r="DT138" s="42">
        <f t="shared" si="365"/>
        <v>0</v>
      </c>
      <c r="DU138" s="42">
        <f t="shared" si="366"/>
        <v>0</v>
      </c>
      <c r="DV138" s="42">
        <f t="shared" si="367"/>
        <v>0</v>
      </c>
      <c r="DW138" s="42">
        <f t="shared" si="368"/>
        <v>0</v>
      </c>
      <c r="DX138" s="42">
        <f t="shared" si="369"/>
        <v>8500508.7740384862</v>
      </c>
      <c r="DY138" s="42">
        <f>IF(DM138="",DY137,DN138-SUM($DO$6:DO138)+SUM($DP$6:DV138)-SUM($DW$6:DW138))</f>
        <v>4166074.7259615138</v>
      </c>
      <c r="DZ138" s="43">
        <f t="shared" si="388"/>
        <v>0.32890279576663384</v>
      </c>
      <c r="EA138" s="43"/>
      <c r="EB138" s="43" t="str">
        <f t="shared" si="398"/>
        <v>False</v>
      </c>
      <c r="EC138" s="41">
        <f t="shared" si="389"/>
        <v>264480</v>
      </c>
      <c r="ED138" s="41">
        <f t="shared" si="390"/>
        <v>686673.49999999988</v>
      </c>
      <c r="EE138" s="41">
        <f t="shared" si="370"/>
        <v>902280</v>
      </c>
      <c r="EF138" s="41">
        <f t="shared" si="391"/>
        <v>14693.333333333334</v>
      </c>
      <c r="EG138" s="42">
        <f t="shared" si="392"/>
        <v>9537.1319444444434</v>
      </c>
      <c r="EH138" s="42">
        <f t="shared" si="393"/>
        <v>6265.8333333333321</v>
      </c>
      <c r="EI138" s="42">
        <f t="shared" si="371"/>
        <v>88160</v>
      </c>
      <c r="EJ138" s="42">
        <f t="shared" si="372"/>
        <v>572228</v>
      </c>
      <c r="EK138" s="42">
        <f t="shared" si="373"/>
        <v>827090</v>
      </c>
      <c r="EL138" s="42">
        <f>IF(DM138="","",EC138-SUM($EF$6:EF138)+SUM($DP$6:DP138))</f>
        <v>176320.00000000093</v>
      </c>
      <c r="EM138" s="42">
        <f>IF(DM138="","",ED138-SUM($EG$6:EG138)+SUM($DQ$6:DQ138))</f>
        <v>114445.58333333011</v>
      </c>
      <c r="EN138" s="42">
        <f>IF(DM138="","",EE138-SUM($EH$6:EH138)+SUM($DR$6:DR138))</f>
        <v>75189.999999998836</v>
      </c>
      <c r="EO138" s="152">
        <f t="shared" si="374"/>
        <v>0.19744737716963132</v>
      </c>
      <c r="EP138" s="43"/>
      <c r="EQ138" s="42">
        <f t="shared" si="375"/>
        <v>448050</v>
      </c>
      <c r="ER138" s="42">
        <f t="shared" si="376"/>
        <v>248100</v>
      </c>
      <c r="ES138" s="42">
        <f t="shared" si="394"/>
        <v>3733.75</v>
      </c>
      <c r="ET138" s="42">
        <f t="shared" si="395"/>
        <v>6122.9807692307695</v>
      </c>
      <c r="EU138" s="42">
        <f t="shared" si="377"/>
        <v>44805</v>
      </c>
      <c r="EV138" s="42">
        <f t="shared" si="378"/>
        <v>63933</v>
      </c>
      <c r="EW138" s="42">
        <f>IF(DM138="","",IF(DS138&gt;0,DS138,EQ138-SUM($ES$6:ES138)+SUM($DS$6:DS138)))</f>
        <v>403245</v>
      </c>
      <c r="EX138" s="42">
        <f>IF(DM138="","",IF(DT138&gt;0,DT138,ER138-SUM($ET$6:ET138)+SUM($DT$6:DT138)))</f>
        <v>184166.53846153989</v>
      </c>
      <c r="EY138" s="43">
        <f t="shared" si="379"/>
        <v>0.74230769230769811</v>
      </c>
      <c r="EZ138" s="43">
        <f t="shared" si="380"/>
        <v>0.9</v>
      </c>
      <c r="FA138" s="43"/>
      <c r="FB138" s="42">
        <f t="shared" si="381"/>
        <v>4935000</v>
      </c>
      <c r="FC138" s="42">
        <f t="shared" si="382"/>
        <v>5182000</v>
      </c>
      <c r="FD138" s="41">
        <f t="shared" si="396"/>
        <v>89960.9375</v>
      </c>
      <c r="FE138" s="41">
        <f t="shared" si="397"/>
        <v>32914.583333333336</v>
      </c>
      <c r="FF138" s="42">
        <f t="shared" si="383"/>
        <v>4188997</v>
      </c>
      <c r="FG138" s="42">
        <f t="shared" si="384"/>
        <v>2715295</v>
      </c>
      <c r="FH138" s="42">
        <f>IF(DM138="","",IF(DU138&gt;0,DU138,FB138-SUM($FD$6:FD138)+SUM($DU$6:DU138)))</f>
        <v>746002.60416666418</v>
      </c>
      <c r="FI138" s="42">
        <f>IF(DM138="","",FC138-SUM($FE$6:FE138)+SUM($DV$6:DV138)-SUM($DW$6:DW138))</f>
        <v>2466704.9999999935</v>
      </c>
      <c r="FJ138" s="152">
        <f t="shared" si="385"/>
        <v>0.31755536267338713</v>
      </c>
      <c r="FN138" s="8"/>
      <c r="FO138" s="8"/>
      <c r="FP138" s="8"/>
      <c r="FQ138" s="8"/>
      <c r="FR138" s="8"/>
      <c r="FS138" s="8"/>
      <c r="FT138" s="8"/>
      <c r="FU138" s="8"/>
      <c r="GC138" s="68">
        <f t="shared" si="349"/>
        <v>133</v>
      </c>
      <c r="GD138" s="78">
        <f t="shared" si="350"/>
        <v>0</v>
      </c>
      <c r="GE138" s="309">
        <f t="shared" si="351"/>
        <v>0.31601624666571204</v>
      </c>
      <c r="GF138" s="78">
        <f t="shared" si="352"/>
        <v>0</v>
      </c>
      <c r="GG138" s="310">
        <f t="shared" si="353"/>
        <v>0.1809934290721619</v>
      </c>
      <c r="GH138" s="78">
        <f t="shared" si="354"/>
        <v>0</v>
      </c>
      <c r="GI138" s="310">
        <f t="shared" si="355"/>
        <v>0.89166666666666672</v>
      </c>
      <c r="GJ138" s="311">
        <f t="shared" si="356"/>
        <v>0</v>
      </c>
      <c r="GK138" s="310">
        <f t="shared" si="357"/>
        <v>0.71762820512821102</v>
      </c>
      <c r="GL138" s="311">
        <f t="shared" si="358"/>
        <v>0</v>
      </c>
      <c r="GM138" s="310">
        <f t="shared" si="359"/>
        <v>0.30540991235873527</v>
      </c>
      <c r="HD138" s="13"/>
      <c r="HE138" s="24"/>
      <c r="HF138" s="13"/>
      <c r="HG138" s="14"/>
      <c r="HH138" s="13"/>
      <c r="HI138" s="13"/>
      <c r="HJ138" s="13"/>
      <c r="HK138" s="13"/>
      <c r="HL138" s="13"/>
      <c r="HM138" s="14"/>
      <c r="HN138" s="13"/>
      <c r="HO138" s="13"/>
    </row>
    <row r="139" spans="3:223" x14ac:dyDescent="0.2">
      <c r="C139" s="426">
        <f t="shared" si="346"/>
        <v>43435</v>
      </c>
      <c r="D139" s="155">
        <f t="shared" si="347"/>
        <v>71</v>
      </c>
      <c r="E139" s="155">
        <f t="shared" si="345"/>
        <v>12307520</v>
      </c>
      <c r="F139" s="155"/>
      <c r="G139" s="438">
        <f t="shared" si="348"/>
        <v>124541.17521367522</v>
      </c>
      <c r="I139" s="444">
        <f>IF(D139="","",'Mx FORECAST'!DX77)</f>
        <v>7933123.44017094</v>
      </c>
      <c r="J139" s="155">
        <f>IF(D139="","",'Mx FORECAST'!DP77)</f>
        <v>0</v>
      </c>
      <c r="K139" s="155">
        <f>IF(D139="","",'Mx FORECAST'!DQ77)</f>
        <v>0</v>
      </c>
      <c r="M139" s="155">
        <f>IF(D139="","",'Mx FORECAST'!DR77)</f>
        <v>0</v>
      </c>
      <c r="O139" s="155">
        <f>IF(D139="","",'Mx FORECAST'!DS77)</f>
        <v>0</v>
      </c>
      <c r="Q139" s="155">
        <f>IF(D139="","",'Mx FORECAST'!DT77)</f>
        <v>0</v>
      </c>
      <c r="S139" s="155">
        <f>IF(D139="","",'Mx FORECAST'!DU77)</f>
        <v>0</v>
      </c>
      <c r="U139" s="155">
        <f>IF(D139="","",'Mx FORECAST'!DV77)</f>
        <v>0</v>
      </c>
      <c r="W139" s="540">
        <f>IF(D139="","",'Mx FORECAST'!DY77)</f>
        <v>4374396.55982906</v>
      </c>
      <c r="X139" s="540"/>
      <c r="Y139" s="437">
        <f>IF(D139="","",'Mx FORECAST'!DZ77)</f>
        <v>0.35542469643186114</v>
      </c>
      <c r="AD139" s="155"/>
      <c r="AF139" s="155"/>
      <c r="AH139" s="155"/>
      <c r="AJ139" s="155"/>
      <c r="AK139" s="8"/>
      <c r="AL139" s="8"/>
      <c r="AM139" s="8"/>
      <c r="AN139" s="8"/>
      <c r="AO139" s="8"/>
      <c r="AP139" s="8"/>
      <c r="AQ139" s="8"/>
      <c r="AR139" s="8"/>
      <c r="AS139" s="8"/>
      <c r="AT139" s="8"/>
      <c r="AU139" s="8"/>
      <c r="AV139" s="8"/>
      <c r="AW139" s="8"/>
      <c r="AX139" s="8"/>
      <c r="AY139" s="8"/>
      <c r="AZ139" s="8"/>
      <c r="BZ139" s="9"/>
      <c r="CA139" s="9"/>
      <c r="CB139" s="9"/>
      <c r="DM139" s="44">
        <f t="shared" si="386"/>
        <v>133</v>
      </c>
      <c r="DN139" s="41">
        <f t="shared" si="360"/>
        <v>12666583.5</v>
      </c>
      <c r="DO139" s="41">
        <f t="shared" si="387"/>
        <v>163228.55021367522</v>
      </c>
      <c r="DP139" s="42">
        <f t="shared" si="361"/>
        <v>0</v>
      </c>
      <c r="DQ139" s="42">
        <f t="shared" si="362"/>
        <v>0</v>
      </c>
      <c r="DR139" s="42">
        <f t="shared" si="363"/>
        <v>0</v>
      </c>
      <c r="DS139" s="42">
        <f t="shared" si="364"/>
        <v>0</v>
      </c>
      <c r="DT139" s="42">
        <f t="shared" si="365"/>
        <v>0</v>
      </c>
      <c r="DU139" s="42">
        <f t="shared" si="366"/>
        <v>0</v>
      </c>
      <c r="DV139" s="42">
        <f t="shared" si="367"/>
        <v>0</v>
      </c>
      <c r="DW139" s="42">
        <f t="shared" si="368"/>
        <v>0</v>
      </c>
      <c r="DX139" s="42">
        <f t="shared" si="369"/>
        <v>8663737.3242521621</v>
      </c>
      <c r="DY139" s="42">
        <f>IF(DM139="",DY138,DN139-SUM($DO$6:DO139)+SUM($DP$6:DV139)-SUM($DW$6:DW139))</f>
        <v>4002846.1757478379</v>
      </c>
      <c r="DZ139" s="43">
        <f t="shared" si="388"/>
        <v>0.31601624666571204</v>
      </c>
      <c r="EA139" s="43"/>
      <c r="EB139" s="43" t="str">
        <f t="shared" si="398"/>
        <v>False</v>
      </c>
      <c r="EC139" s="41">
        <f t="shared" si="389"/>
        <v>264480</v>
      </c>
      <c r="ED139" s="41">
        <f t="shared" si="390"/>
        <v>686673.49999999988</v>
      </c>
      <c r="EE139" s="41">
        <f t="shared" si="370"/>
        <v>902280</v>
      </c>
      <c r="EF139" s="41">
        <f t="shared" si="391"/>
        <v>14693.333333333334</v>
      </c>
      <c r="EG139" s="42">
        <f t="shared" si="392"/>
        <v>9537.1319444444434</v>
      </c>
      <c r="EH139" s="42">
        <f t="shared" si="393"/>
        <v>6265.8333333333321</v>
      </c>
      <c r="EI139" s="42">
        <f t="shared" si="371"/>
        <v>102853</v>
      </c>
      <c r="EJ139" s="42">
        <f t="shared" si="372"/>
        <v>581765</v>
      </c>
      <c r="EK139" s="42">
        <f t="shared" si="373"/>
        <v>833356</v>
      </c>
      <c r="EL139" s="42">
        <f>IF(DM139="","",EC139-SUM($EF$6:EF139)+SUM($DP$6:DP139))</f>
        <v>161626.66666666768</v>
      </c>
      <c r="EM139" s="42">
        <f>IF(DM139="","",ED139-SUM($EG$6:EG139)+SUM($DQ$6:DQ139))</f>
        <v>104908.45138888562</v>
      </c>
      <c r="EN139" s="42">
        <f>IF(DM139="","",EE139-SUM($EH$6:EH139)+SUM($DR$6:DR139))</f>
        <v>68924.166666665464</v>
      </c>
      <c r="EO139" s="152">
        <f t="shared" si="374"/>
        <v>0.1809934290721619</v>
      </c>
      <c r="EP139" s="43"/>
      <c r="EQ139" s="42">
        <f t="shared" si="375"/>
        <v>448050</v>
      </c>
      <c r="ER139" s="42">
        <f t="shared" si="376"/>
        <v>248100</v>
      </c>
      <c r="ES139" s="42">
        <f t="shared" si="394"/>
        <v>3733.75</v>
      </c>
      <c r="ET139" s="42">
        <f t="shared" si="395"/>
        <v>6122.9807692307695</v>
      </c>
      <c r="EU139" s="42">
        <f t="shared" si="377"/>
        <v>48539</v>
      </c>
      <c r="EV139" s="42">
        <f t="shared" si="378"/>
        <v>70056</v>
      </c>
      <c r="EW139" s="42">
        <f>IF(DM139="","",IF(DS139&gt;0,DS139,EQ139-SUM($ES$6:ES139)+SUM($DS$6:DS139)))</f>
        <v>399511.25</v>
      </c>
      <c r="EX139" s="42">
        <f>IF(DM139="","",IF(DT139&gt;0,DT139,ER139-SUM($ET$6:ET139)+SUM($DT$6:DT139)))</f>
        <v>178043.55769230914</v>
      </c>
      <c r="EY139" s="43">
        <f t="shared" si="379"/>
        <v>0.71762820512821102</v>
      </c>
      <c r="EZ139" s="43">
        <f t="shared" si="380"/>
        <v>0.89166666666666672</v>
      </c>
      <c r="FA139" s="43"/>
      <c r="FB139" s="42">
        <f t="shared" si="381"/>
        <v>4935000</v>
      </c>
      <c r="FC139" s="42">
        <f t="shared" si="382"/>
        <v>5182000</v>
      </c>
      <c r="FD139" s="41">
        <f t="shared" si="396"/>
        <v>89960.9375</v>
      </c>
      <c r="FE139" s="41">
        <f t="shared" si="397"/>
        <v>32914.583333333336</v>
      </c>
      <c r="FF139" s="42">
        <f t="shared" si="383"/>
        <v>4278958</v>
      </c>
      <c r="FG139" s="42">
        <f t="shared" si="384"/>
        <v>2748210</v>
      </c>
      <c r="FH139" s="42">
        <f>IF(DM139="","",IF(DU139&gt;0,DU139,FB139-SUM($FD$6:FD139)+SUM($DU$6:DU139)))</f>
        <v>656041.66666666418</v>
      </c>
      <c r="FI139" s="42">
        <f>IF(DM139="","",FC139-SUM($FE$6:FE139)+SUM($DV$6:DV139)-SUM($DW$6:DW139))</f>
        <v>2433790.4166666605</v>
      </c>
      <c r="FJ139" s="152">
        <f t="shared" si="385"/>
        <v>0.30540991235873527</v>
      </c>
      <c r="FN139" s="8"/>
      <c r="FO139" s="8"/>
      <c r="FP139" s="8"/>
      <c r="FQ139" s="8"/>
      <c r="FR139" s="8"/>
      <c r="FS139" s="8"/>
      <c r="FT139" s="8"/>
      <c r="FU139" s="8"/>
      <c r="GC139" s="68">
        <f t="shared" si="349"/>
        <v>134</v>
      </c>
      <c r="GD139" s="78">
        <f t="shared" si="350"/>
        <v>0</v>
      </c>
      <c r="GE139" s="309">
        <f t="shared" si="351"/>
        <v>0.30312969756479019</v>
      </c>
      <c r="GF139" s="78">
        <f t="shared" si="352"/>
        <v>0</v>
      </c>
      <c r="GG139" s="310">
        <f t="shared" si="353"/>
        <v>0.16453948097469245</v>
      </c>
      <c r="GH139" s="78">
        <f t="shared" si="354"/>
        <v>0</v>
      </c>
      <c r="GI139" s="310">
        <f t="shared" si="355"/>
        <v>0.8833333333333333</v>
      </c>
      <c r="GJ139" s="311">
        <f t="shared" si="356"/>
        <v>0</v>
      </c>
      <c r="GK139" s="310">
        <f t="shared" si="357"/>
        <v>0.69294871794872381</v>
      </c>
      <c r="GL139" s="311">
        <f t="shared" si="358"/>
        <v>0</v>
      </c>
      <c r="GM139" s="310">
        <f t="shared" si="359"/>
        <v>0.29326446204408341</v>
      </c>
      <c r="HD139" s="13"/>
      <c r="HE139" s="24"/>
      <c r="HF139" s="13"/>
      <c r="HG139" s="14"/>
      <c r="HH139" s="13"/>
      <c r="HI139" s="13"/>
      <c r="HJ139" s="13"/>
      <c r="HK139" s="13"/>
      <c r="HL139" s="13"/>
      <c r="HM139" s="14"/>
      <c r="HN139" s="13"/>
      <c r="HO139" s="13"/>
    </row>
    <row r="140" spans="3:223" x14ac:dyDescent="0.2">
      <c r="C140" s="426">
        <f t="shared" si="346"/>
        <v>43466</v>
      </c>
      <c r="D140" s="155">
        <f t="shared" si="347"/>
        <v>72</v>
      </c>
      <c r="E140" s="155">
        <f t="shared" si="345"/>
        <v>12307520</v>
      </c>
      <c r="F140" s="155"/>
      <c r="G140" s="438">
        <f t="shared" si="348"/>
        <v>124541.17521367522</v>
      </c>
      <c r="I140" s="444">
        <f>IF(D140="","",'Mx FORECAST'!DX78)</f>
        <v>7230574.615384616</v>
      </c>
      <c r="J140" s="155">
        <f>IF(D140="","",'Mx FORECAST'!DP78)</f>
        <v>220400</v>
      </c>
      <c r="K140" s="155">
        <f>IF(D140="","",'Mx FORECAST'!DQ78)</f>
        <v>606690</v>
      </c>
      <c r="M140" s="155">
        <f>IF(D140="","",'Mx FORECAST'!DR78)</f>
        <v>0</v>
      </c>
      <c r="O140" s="155">
        <f>IF(D140="","",'Mx FORECAST'!DS78)</f>
        <v>0</v>
      </c>
      <c r="Q140" s="155">
        <f>IF(D140="","",'Mx FORECAST'!DT78)</f>
        <v>0</v>
      </c>
      <c r="S140" s="155">
        <f>IF(D140="","",'Mx FORECAST'!DU78)</f>
        <v>0</v>
      </c>
      <c r="U140" s="155">
        <f>IF(D140="","",'Mx FORECAST'!DV78)</f>
        <v>0</v>
      </c>
      <c r="W140" s="540">
        <f>IF(D140="","",'Mx FORECAST'!DY78)</f>
        <v>5076945.384615384</v>
      </c>
      <c r="X140" s="540"/>
      <c r="Y140" s="437">
        <f>IF(D140="","",'Mx FORECAST'!DZ78)</f>
        <v>0.41250758760622647</v>
      </c>
      <c r="AD140" s="155"/>
      <c r="AF140" s="155"/>
      <c r="AH140" s="155"/>
      <c r="AJ140" s="155"/>
      <c r="AK140" s="8"/>
      <c r="AL140" s="8"/>
      <c r="AM140" s="8"/>
      <c r="AN140" s="8"/>
      <c r="AO140" s="8"/>
      <c r="AP140" s="8"/>
      <c r="AQ140" s="8"/>
      <c r="AR140" s="8"/>
      <c r="AS140" s="8"/>
      <c r="AT140" s="8"/>
      <c r="AU140" s="8"/>
      <c r="AV140" s="8"/>
      <c r="AW140" s="8"/>
      <c r="AX140" s="8"/>
      <c r="AY140" s="8"/>
      <c r="AZ140" s="8"/>
      <c r="BZ140" s="9"/>
      <c r="CA140" s="9"/>
      <c r="CB140" s="9"/>
      <c r="DM140" s="44">
        <f t="shared" si="386"/>
        <v>134</v>
      </c>
      <c r="DN140" s="41">
        <f t="shared" si="360"/>
        <v>12666583.5</v>
      </c>
      <c r="DO140" s="41">
        <f t="shared" si="387"/>
        <v>163228.55021367522</v>
      </c>
      <c r="DP140" s="42">
        <f t="shared" si="361"/>
        <v>0</v>
      </c>
      <c r="DQ140" s="42">
        <f t="shared" si="362"/>
        <v>0</v>
      </c>
      <c r="DR140" s="42">
        <f t="shared" si="363"/>
        <v>0</v>
      </c>
      <c r="DS140" s="42">
        <f t="shared" si="364"/>
        <v>0</v>
      </c>
      <c r="DT140" s="42">
        <f t="shared" si="365"/>
        <v>0</v>
      </c>
      <c r="DU140" s="42">
        <f t="shared" si="366"/>
        <v>0</v>
      </c>
      <c r="DV140" s="42">
        <f t="shared" si="367"/>
        <v>0</v>
      </c>
      <c r="DW140" s="42">
        <f t="shared" si="368"/>
        <v>0</v>
      </c>
      <c r="DX140" s="42">
        <f t="shared" si="369"/>
        <v>8826965.8744658381</v>
      </c>
      <c r="DY140" s="42">
        <f>IF(DM140="",DY139,DN140-SUM($DO$6:DO140)+SUM($DP$6:DV140)-SUM($DW$6:DW140))</f>
        <v>3839617.6255341619</v>
      </c>
      <c r="DZ140" s="43">
        <f t="shared" si="388"/>
        <v>0.30312969756479019</v>
      </c>
      <c r="EA140" s="43"/>
      <c r="EB140" s="43" t="str">
        <f t="shared" si="398"/>
        <v>False</v>
      </c>
      <c r="EC140" s="41">
        <f t="shared" si="389"/>
        <v>264480</v>
      </c>
      <c r="ED140" s="41">
        <f t="shared" si="390"/>
        <v>686673.49999999988</v>
      </c>
      <c r="EE140" s="41">
        <f t="shared" si="370"/>
        <v>902280</v>
      </c>
      <c r="EF140" s="41">
        <f t="shared" si="391"/>
        <v>14693.333333333334</v>
      </c>
      <c r="EG140" s="42">
        <f t="shared" si="392"/>
        <v>9537.1319444444434</v>
      </c>
      <c r="EH140" s="42">
        <f t="shared" si="393"/>
        <v>6265.8333333333321</v>
      </c>
      <c r="EI140" s="42">
        <f t="shared" si="371"/>
        <v>117547</v>
      </c>
      <c r="EJ140" s="42">
        <f t="shared" si="372"/>
        <v>591302</v>
      </c>
      <c r="EK140" s="42">
        <f t="shared" si="373"/>
        <v>839622</v>
      </c>
      <c r="EL140" s="42">
        <f>IF(DM140="","",EC140-SUM($EF$6:EF140)+SUM($DP$6:DP140))</f>
        <v>146933.33333333442</v>
      </c>
      <c r="EM140" s="42">
        <f>IF(DM140="","",ED140-SUM($EG$6:EG140)+SUM($DQ$6:DQ140))</f>
        <v>95371.31944444112</v>
      </c>
      <c r="EN140" s="42">
        <f>IF(DM140="","",EE140-SUM($EH$6:EH140)+SUM($DR$6:DR140))</f>
        <v>62658.333333332092</v>
      </c>
      <c r="EO140" s="152">
        <f t="shared" si="374"/>
        <v>0.16453948097469245</v>
      </c>
      <c r="EP140" s="43"/>
      <c r="EQ140" s="42">
        <f t="shared" si="375"/>
        <v>448050</v>
      </c>
      <c r="ER140" s="42">
        <f t="shared" si="376"/>
        <v>248100</v>
      </c>
      <c r="ES140" s="42">
        <f t="shared" si="394"/>
        <v>3733.75</v>
      </c>
      <c r="ET140" s="42">
        <f t="shared" si="395"/>
        <v>6122.9807692307695</v>
      </c>
      <c r="EU140" s="42">
        <f t="shared" si="377"/>
        <v>52273</v>
      </c>
      <c r="EV140" s="42">
        <f t="shared" si="378"/>
        <v>76179</v>
      </c>
      <c r="EW140" s="42">
        <f>IF(DM140="","",IF(DS140&gt;0,DS140,EQ140-SUM($ES$6:ES140)+SUM($DS$6:DS140)))</f>
        <v>395777.5</v>
      </c>
      <c r="EX140" s="42">
        <f>IF(DM140="","",IF(DT140&gt;0,DT140,ER140-SUM($ET$6:ET140)+SUM($DT$6:DT140)))</f>
        <v>171920.57692307839</v>
      </c>
      <c r="EY140" s="43">
        <f t="shared" si="379"/>
        <v>0.69294871794872381</v>
      </c>
      <c r="EZ140" s="43">
        <f t="shared" si="380"/>
        <v>0.8833333333333333</v>
      </c>
      <c r="FA140" s="43"/>
      <c r="FB140" s="42">
        <f t="shared" si="381"/>
        <v>4935000</v>
      </c>
      <c r="FC140" s="42">
        <f t="shared" si="382"/>
        <v>5182000</v>
      </c>
      <c r="FD140" s="41">
        <f t="shared" si="396"/>
        <v>89960.9375</v>
      </c>
      <c r="FE140" s="41">
        <f t="shared" si="397"/>
        <v>32914.583333333336</v>
      </c>
      <c r="FF140" s="42">
        <f t="shared" si="383"/>
        <v>4368919</v>
      </c>
      <c r="FG140" s="42">
        <f t="shared" si="384"/>
        <v>2781124</v>
      </c>
      <c r="FH140" s="42">
        <f>IF(DM140="","",IF(DU140&gt;0,DU140,FB140-SUM($FD$6:FD140)+SUM($DU$6:DU140)))</f>
        <v>566080.72916666418</v>
      </c>
      <c r="FI140" s="42">
        <f>IF(DM140="","",FC140-SUM($FE$6:FE140)+SUM($DV$6:DV140)-SUM($DW$6:DW140))</f>
        <v>2400875.8333333274</v>
      </c>
      <c r="FJ140" s="152">
        <f t="shared" si="385"/>
        <v>0.29326446204408341</v>
      </c>
      <c r="FN140" s="8"/>
      <c r="FO140" s="8"/>
      <c r="FP140" s="8"/>
      <c r="FQ140" s="8"/>
      <c r="FR140" s="8"/>
      <c r="FS140" s="8"/>
      <c r="FT140" s="8"/>
      <c r="FU140" s="8"/>
      <c r="GC140" s="68">
        <f t="shared" si="349"/>
        <v>135</v>
      </c>
      <c r="GD140" s="78">
        <f t="shared" si="350"/>
        <v>0</v>
      </c>
      <c r="GE140" s="309">
        <f t="shared" si="351"/>
        <v>0.29024314846386839</v>
      </c>
      <c r="GF140" s="78">
        <f t="shared" si="352"/>
        <v>0</v>
      </c>
      <c r="GG140" s="310">
        <f t="shared" si="353"/>
        <v>0.14808553287722301</v>
      </c>
      <c r="GH140" s="78">
        <f t="shared" si="354"/>
        <v>0</v>
      </c>
      <c r="GI140" s="310">
        <f t="shared" si="355"/>
        <v>0.875</v>
      </c>
      <c r="GJ140" s="311">
        <f t="shared" si="356"/>
        <v>0</v>
      </c>
      <c r="GK140" s="310">
        <f t="shared" si="357"/>
        <v>0.66826923076923672</v>
      </c>
      <c r="GL140" s="311">
        <f t="shared" si="358"/>
        <v>0</v>
      </c>
      <c r="GM140" s="310">
        <f t="shared" si="359"/>
        <v>0.28111901172943149</v>
      </c>
      <c r="HD140" s="13"/>
      <c r="HE140" s="24"/>
      <c r="HF140" s="13"/>
      <c r="HG140" s="14"/>
      <c r="HH140" s="13"/>
      <c r="HI140" s="13"/>
      <c r="HJ140" s="13"/>
      <c r="HK140" s="13"/>
      <c r="HL140" s="13"/>
      <c r="HM140" s="14"/>
      <c r="HN140" s="13"/>
      <c r="HO140" s="13"/>
    </row>
    <row r="141" spans="3:223" x14ac:dyDescent="0.2">
      <c r="C141" s="426">
        <f t="shared" si="346"/>
        <v>43497</v>
      </c>
      <c r="D141" s="155">
        <f t="shared" si="347"/>
        <v>73</v>
      </c>
      <c r="E141" s="155">
        <f t="shared" si="345"/>
        <v>12389583.5</v>
      </c>
      <c r="F141" s="155"/>
      <c r="G141" s="438">
        <f t="shared" si="348"/>
        <v>125767.61271367522</v>
      </c>
      <c r="I141" s="444">
        <f>IF(D141="","",'Mx FORECAST'!DX79)</f>
        <v>7356342.2280982919</v>
      </c>
      <c r="J141" s="155">
        <f>IF(D141="","",'Mx FORECAST'!DP79)</f>
        <v>0</v>
      </c>
      <c r="K141" s="155">
        <f>IF(D141="","",'Mx FORECAST'!DQ79)</f>
        <v>0</v>
      </c>
      <c r="M141" s="155">
        <f>IF(D141="","",'Mx FORECAST'!DR79)</f>
        <v>0</v>
      </c>
      <c r="O141" s="155">
        <f>IF(D141="","",'Mx FORECAST'!DS79)</f>
        <v>0</v>
      </c>
      <c r="Q141" s="155">
        <f>IF(D141="","",'Mx FORECAST'!DT79)</f>
        <v>0</v>
      </c>
      <c r="S141" s="155">
        <f>IF(D141="","",'Mx FORECAST'!DU79)</f>
        <v>0</v>
      </c>
      <c r="U141" s="155">
        <f>IF(D141="","",'Mx FORECAST'!DV79)</f>
        <v>0</v>
      </c>
      <c r="W141" s="540">
        <f>IF(D141="","",'Mx FORECAST'!DY79)</f>
        <v>5033241.2719017081</v>
      </c>
      <c r="X141" s="540"/>
      <c r="Y141" s="437">
        <f>IF(D141="","",'Mx FORECAST'!DZ79)</f>
        <v>0.40624781873431887</v>
      </c>
      <c r="AD141" s="155"/>
      <c r="AF141" s="155"/>
      <c r="AH141" s="155"/>
      <c r="AJ141" s="155"/>
      <c r="AK141" s="8"/>
      <c r="AL141" s="8"/>
      <c r="AM141" s="8"/>
      <c r="AN141" s="8"/>
      <c r="AO141" s="8"/>
      <c r="AP141" s="8"/>
      <c r="AQ141" s="8"/>
      <c r="AR141" s="8"/>
      <c r="AS141" s="8"/>
      <c r="AT141" s="8"/>
      <c r="AU141" s="8"/>
      <c r="AV141" s="8"/>
      <c r="AW141" s="8"/>
      <c r="AX141" s="8"/>
      <c r="AY141" s="8"/>
      <c r="AZ141" s="8"/>
      <c r="BZ141" s="9"/>
      <c r="CA141" s="9"/>
      <c r="CB141" s="9"/>
      <c r="DM141" s="44">
        <f t="shared" si="386"/>
        <v>135</v>
      </c>
      <c r="DN141" s="41">
        <f t="shared" si="360"/>
        <v>12666583.5</v>
      </c>
      <c r="DO141" s="41">
        <f t="shared" si="387"/>
        <v>163228.55021367522</v>
      </c>
      <c r="DP141" s="42">
        <f t="shared" si="361"/>
        <v>0</v>
      </c>
      <c r="DQ141" s="42">
        <f t="shared" si="362"/>
        <v>0</v>
      </c>
      <c r="DR141" s="42">
        <f t="shared" si="363"/>
        <v>0</v>
      </c>
      <c r="DS141" s="42">
        <f t="shared" si="364"/>
        <v>0</v>
      </c>
      <c r="DT141" s="42">
        <f t="shared" si="365"/>
        <v>0</v>
      </c>
      <c r="DU141" s="42">
        <f t="shared" si="366"/>
        <v>0</v>
      </c>
      <c r="DV141" s="42">
        <f t="shared" si="367"/>
        <v>0</v>
      </c>
      <c r="DW141" s="42">
        <f t="shared" si="368"/>
        <v>0</v>
      </c>
      <c r="DX141" s="42">
        <f t="shared" si="369"/>
        <v>8990194.424679514</v>
      </c>
      <c r="DY141" s="42">
        <f>IF(DM141="",DY140,DN141-SUM($DO$6:DO141)+SUM($DP$6:DV141)-SUM($DW$6:DW141))</f>
        <v>3676389.075320486</v>
      </c>
      <c r="DZ141" s="43">
        <f t="shared" si="388"/>
        <v>0.29024314846386839</v>
      </c>
      <c r="EA141" s="43"/>
      <c r="EB141" s="43" t="str">
        <f t="shared" si="398"/>
        <v>False</v>
      </c>
      <c r="EC141" s="41">
        <f t="shared" si="389"/>
        <v>264480</v>
      </c>
      <c r="ED141" s="41">
        <f t="shared" si="390"/>
        <v>686673.49999999988</v>
      </c>
      <c r="EE141" s="41">
        <f t="shared" si="370"/>
        <v>902280</v>
      </c>
      <c r="EF141" s="41">
        <f t="shared" si="391"/>
        <v>14693.333333333334</v>
      </c>
      <c r="EG141" s="42">
        <f t="shared" si="392"/>
        <v>9537.1319444444434</v>
      </c>
      <c r="EH141" s="42">
        <f t="shared" si="393"/>
        <v>6265.8333333333321</v>
      </c>
      <c r="EI141" s="42">
        <f t="shared" si="371"/>
        <v>132240</v>
      </c>
      <c r="EJ141" s="42">
        <f t="shared" si="372"/>
        <v>600839</v>
      </c>
      <c r="EK141" s="42">
        <f t="shared" si="373"/>
        <v>845888</v>
      </c>
      <c r="EL141" s="42">
        <f>IF(DM141="","",EC141-SUM($EF$6:EF141)+SUM($DP$6:DP141))</f>
        <v>132240.00000000116</v>
      </c>
      <c r="EM141" s="42">
        <f>IF(DM141="","",ED141-SUM($EG$6:EG141)+SUM($DQ$6:DQ141))</f>
        <v>85834.187499996624</v>
      </c>
      <c r="EN141" s="42">
        <f>IF(DM141="","",EE141-SUM($EH$6:EH141)+SUM($DR$6:DR141))</f>
        <v>56392.499999998719</v>
      </c>
      <c r="EO141" s="152">
        <f t="shared" si="374"/>
        <v>0.14808553287722301</v>
      </c>
      <c r="EP141" s="43"/>
      <c r="EQ141" s="42">
        <f t="shared" si="375"/>
        <v>448050</v>
      </c>
      <c r="ER141" s="42">
        <f t="shared" si="376"/>
        <v>248100</v>
      </c>
      <c r="ES141" s="42">
        <f t="shared" si="394"/>
        <v>3733.75</v>
      </c>
      <c r="ET141" s="42">
        <f t="shared" si="395"/>
        <v>6122.9807692307695</v>
      </c>
      <c r="EU141" s="42">
        <f t="shared" si="377"/>
        <v>56006</v>
      </c>
      <c r="EV141" s="42">
        <f t="shared" si="378"/>
        <v>82302</v>
      </c>
      <c r="EW141" s="42">
        <f>IF(DM141="","",IF(DS141&gt;0,DS141,EQ141-SUM($ES$6:ES141)+SUM($DS$6:DS141)))</f>
        <v>392043.75</v>
      </c>
      <c r="EX141" s="42">
        <f>IF(DM141="","",IF(DT141&gt;0,DT141,ER141-SUM($ET$6:ET141)+SUM($DT$6:DT141)))</f>
        <v>165797.59615384764</v>
      </c>
      <c r="EY141" s="43">
        <f t="shared" si="379"/>
        <v>0.66826923076923672</v>
      </c>
      <c r="EZ141" s="43">
        <f t="shared" si="380"/>
        <v>0.875</v>
      </c>
      <c r="FA141" s="43"/>
      <c r="FB141" s="42">
        <f t="shared" si="381"/>
        <v>4935000</v>
      </c>
      <c r="FC141" s="42">
        <f t="shared" si="382"/>
        <v>5182000</v>
      </c>
      <c r="FD141" s="41">
        <f t="shared" si="396"/>
        <v>89960.9375</v>
      </c>
      <c r="FE141" s="41">
        <f t="shared" si="397"/>
        <v>32914.583333333336</v>
      </c>
      <c r="FF141" s="42">
        <f t="shared" si="383"/>
        <v>4458880</v>
      </c>
      <c r="FG141" s="42">
        <f t="shared" si="384"/>
        <v>2814039</v>
      </c>
      <c r="FH141" s="42">
        <f>IF(DM141="","",IF(DU141&gt;0,DU141,FB141-SUM($FD$6:FD141)+SUM($DU$6:DU141)))</f>
        <v>476119.79166666418</v>
      </c>
      <c r="FI141" s="42">
        <f>IF(DM141="","",FC141-SUM($FE$6:FE141)+SUM($DV$6:DV141)-SUM($DW$6:DW141))</f>
        <v>2367961.2499999944</v>
      </c>
      <c r="FJ141" s="152">
        <f t="shared" si="385"/>
        <v>0.28111901172943149</v>
      </c>
      <c r="FN141" s="8"/>
      <c r="FO141" s="8"/>
      <c r="FP141" s="8"/>
      <c r="FQ141" s="8"/>
      <c r="FR141" s="8"/>
      <c r="FS141" s="8"/>
      <c r="FT141" s="8"/>
      <c r="FU141" s="8"/>
      <c r="GC141" s="68">
        <f t="shared" si="349"/>
        <v>136</v>
      </c>
      <c r="GD141" s="78">
        <f t="shared" si="350"/>
        <v>0</v>
      </c>
      <c r="GE141" s="309">
        <f t="shared" si="351"/>
        <v>0.2773565993629466</v>
      </c>
      <c r="GF141" s="78">
        <f t="shared" si="352"/>
        <v>0</v>
      </c>
      <c r="GG141" s="310">
        <f t="shared" si="353"/>
        <v>0.13163158477975356</v>
      </c>
      <c r="GH141" s="78">
        <f t="shared" si="354"/>
        <v>0</v>
      </c>
      <c r="GI141" s="310">
        <f t="shared" si="355"/>
        <v>0.8666666666666667</v>
      </c>
      <c r="GJ141" s="311">
        <f t="shared" si="356"/>
        <v>0</v>
      </c>
      <c r="GK141" s="310">
        <f t="shared" si="357"/>
        <v>0.64358974358974963</v>
      </c>
      <c r="GL141" s="311">
        <f t="shared" si="358"/>
        <v>0</v>
      </c>
      <c r="GM141" s="310">
        <f t="shared" si="359"/>
        <v>0.26897356141477963</v>
      </c>
      <c r="HD141" s="13"/>
      <c r="HE141" s="24"/>
      <c r="HF141" s="13"/>
      <c r="HG141" s="14"/>
      <c r="HH141" s="13"/>
      <c r="HI141" s="13"/>
      <c r="HJ141" s="13"/>
      <c r="HK141" s="13"/>
      <c r="HL141" s="13"/>
      <c r="HM141" s="14"/>
      <c r="HN141" s="13"/>
      <c r="HO141" s="13"/>
    </row>
    <row r="142" spans="3:223" x14ac:dyDescent="0.2">
      <c r="C142" s="426">
        <f t="shared" si="346"/>
        <v>43525</v>
      </c>
      <c r="D142" s="155">
        <f t="shared" si="347"/>
        <v>74</v>
      </c>
      <c r="E142" s="155">
        <f t="shared" si="345"/>
        <v>12389583.5</v>
      </c>
      <c r="F142" s="155"/>
      <c r="G142" s="438">
        <f t="shared" si="348"/>
        <v>125767.61271367522</v>
      </c>
      <c r="I142" s="444">
        <f>IF(D142="","",'Mx FORECAST'!DX80)</f>
        <v>7482109.8408119678</v>
      </c>
      <c r="J142" s="155">
        <f>IF(D142="","",'Mx FORECAST'!DP80)</f>
        <v>0</v>
      </c>
      <c r="K142" s="155">
        <f>IF(D142="","",'Mx FORECAST'!DQ80)</f>
        <v>0</v>
      </c>
      <c r="M142" s="155">
        <f>IF(D142="","",'Mx FORECAST'!DR80)</f>
        <v>0</v>
      </c>
      <c r="O142" s="155">
        <f>IF(D142="","",'Mx FORECAST'!DS80)</f>
        <v>0</v>
      </c>
      <c r="Q142" s="155">
        <f>IF(D142="","",'Mx FORECAST'!DT80)</f>
        <v>0</v>
      </c>
      <c r="S142" s="155">
        <f>IF(D142="","",'Mx FORECAST'!DU80)</f>
        <v>0</v>
      </c>
      <c r="U142" s="155">
        <f>IF(D142="","",'Mx FORECAST'!DV80)</f>
        <v>0</v>
      </c>
      <c r="W142" s="540">
        <f>IF(D142="","",'Mx FORECAST'!DY80)</f>
        <v>4907473.6591880322</v>
      </c>
      <c r="X142" s="540"/>
      <c r="Y142" s="437">
        <f>IF(D142="","",'Mx FORECAST'!DZ80)</f>
        <v>0.39609674200815809</v>
      </c>
      <c r="AD142" s="155"/>
      <c r="AF142" s="155"/>
      <c r="AH142" s="155"/>
      <c r="AJ142" s="155"/>
      <c r="AK142" s="8"/>
      <c r="AL142" s="8"/>
      <c r="AM142" s="8"/>
      <c r="AN142" s="8"/>
      <c r="AO142" s="8"/>
      <c r="AP142" s="8"/>
      <c r="AQ142" s="8"/>
      <c r="AR142" s="8"/>
      <c r="AS142" s="8"/>
      <c r="AT142" s="8"/>
      <c r="AU142" s="8"/>
      <c r="AV142" s="8"/>
      <c r="AW142" s="8"/>
      <c r="AX142" s="8"/>
      <c r="AY142" s="8"/>
      <c r="AZ142" s="8"/>
      <c r="BZ142" s="9"/>
      <c r="CA142" s="9"/>
      <c r="CB142" s="9"/>
      <c r="DM142" s="44">
        <f t="shared" si="386"/>
        <v>136</v>
      </c>
      <c r="DN142" s="41">
        <f t="shared" si="360"/>
        <v>12666583.5</v>
      </c>
      <c r="DO142" s="41">
        <f t="shared" si="387"/>
        <v>163228.55021367522</v>
      </c>
      <c r="DP142" s="42">
        <f t="shared" si="361"/>
        <v>0</v>
      </c>
      <c r="DQ142" s="42">
        <f t="shared" si="362"/>
        <v>0</v>
      </c>
      <c r="DR142" s="42">
        <f t="shared" si="363"/>
        <v>0</v>
      </c>
      <c r="DS142" s="42">
        <f t="shared" si="364"/>
        <v>0</v>
      </c>
      <c r="DT142" s="42">
        <f t="shared" si="365"/>
        <v>0</v>
      </c>
      <c r="DU142" s="42">
        <f t="shared" si="366"/>
        <v>0</v>
      </c>
      <c r="DV142" s="42">
        <f t="shared" si="367"/>
        <v>0</v>
      </c>
      <c r="DW142" s="42">
        <f t="shared" si="368"/>
        <v>0</v>
      </c>
      <c r="DX142" s="42">
        <f t="shared" si="369"/>
        <v>9153422.97489319</v>
      </c>
      <c r="DY142" s="42">
        <f>IF(DM142="",DY141,DN142-SUM($DO$6:DO142)+SUM($DP$6:DV142)-SUM($DW$6:DW142))</f>
        <v>3513160.52510681</v>
      </c>
      <c r="DZ142" s="43">
        <f t="shared" si="388"/>
        <v>0.2773565993629466</v>
      </c>
      <c r="EA142" s="43"/>
      <c r="EB142" s="43" t="str">
        <f t="shared" si="398"/>
        <v>False</v>
      </c>
      <c r="EC142" s="41">
        <f t="shared" si="389"/>
        <v>264480</v>
      </c>
      <c r="ED142" s="41">
        <f t="shared" si="390"/>
        <v>686673.49999999988</v>
      </c>
      <c r="EE142" s="41">
        <f t="shared" si="370"/>
        <v>902280</v>
      </c>
      <c r="EF142" s="41">
        <f t="shared" si="391"/>
        <v>14693.333333333334</v>
      </c>
      <c r="EG142" s="42">
        <f t="shared" si="392"/>
        <v>9537.1319444444434</v>
      </c>
      <c r="EH142" s="42">
        <f t="shared" si="393"/>
        <v>6265.8333333333321</v>
      </c>
      <c r="EI142" s="42">
        <f t="shared" si="371"/>
        <v>146933</v>
      </c>
      <c r="EJ142" s="42">
        <f t="shared" si="372"/>
        <v>610376</v>
      </c>
      <c r="EK142" s="42">
        <f t="shared" si="373"/>
        <v>852153</v>
      </c>
      <c r="EL142" s="42">
        <f>IF(DM142="","",EC142-SUM($EF$6:EF142)+SUM($DP$6:DP142))</f>
        <v>117546.66666666791</v>
      </c>
      <c r="EM142" s="42">
        <f>IF(DM142="","",ED142-SUM($EG$6:EG142)+SUM($DQ$6:DQ142))</f>
        <v>76297.055555552128</v>
      </c>
      <c r="EN142" s="42">
        <f>IF(DM142="","",EE142-SUM($EH$6:EH142)+SUM($DR$6:DR142))</f>
        <v>50126.666666665347</v>
      </c>
      <c r="EO142" s="152">
        <f t="shared" si="374"/>
        <v>0.13163158477975356</v>
      </c>
      <c r="EP142" s="43"/>
      <c r="EQ142" s="42">
        <f t="shared" si="375"/>
        <v>448050</v>
      </c>
      <c r="ER142" s="42">
        <f t="shared" si="376"/>
        <v>248100</v>
      </c>
      <c r="ES142" s="42">
        <f t="shared" si="394"/>
        <v>3733.75</v>
      </c>
      <c r="ET142" s="42">
        <f t="shared" si="395"/>
        <v>6122.9807692307695</v>
      </c>
      <c r="EU142" s="42">
        <f t="shared" si="377"/>
        <v>59740</v>
      </c>
      <c r="EV142" s="42">
        <f t="shared" si="378"/>
        <v>88425</v>
      </c>
      <c r="EW142" s="42">
        <f>IF(DM142="","",IF(DS142&gt;0,DS142,EQ142-SUM($ES$6:ES142)+SUM($DS$6:DS142)))</f>
        <v>388310</v>
      </c>
      <c r="EX142" s="42">
        <f>IF(DM142="","",IF(DT142&gt;0,DT142,ER142-SUM($ET$6:ET142)+SUM($DT$6:DT142)))</f>
        <v>159674.61538461689</v>
      </c>
      <c r="EY142" s="43">
        <f t="shared" si="379"/>
        <v>0.64358974358974963</v>
      </c>
      <c r="EZ142" s="43">
        <f t="shared" si="380"/>
        <v>0.8666666666666667</v>
      </c>
      <c r="FA142" s="43"/>
      <c r="FB142" s="42">
        <f t="shared" si="381"/>
        <v>4935000</v>
      </c>
      <c r="FC142" s="42">
        <f t="shared" si="382"/>
        <v>5182000</v>
      </c>
      <c r="FD142" s="41">
        <f t="shared" si="396"/>
        <v>89960.9375</v>
      </c>
      <c r="FE142" s="41">
        <f t="shared" si="397"/>
        <v>32914.583333333336</v>
      </c>
      <c r="FF142" s="42">
        <f t="shared" si="383"/>
        <v>4548841</v>
      </c>
      <c r="FG142" s="42">
        <f t="shared" si="384"/>
        <v>2846953</v>
      </c>
      <c r="FH142" s="42">
        <f>IF(DM142="","",IF(DU142&gt;0,DU142,FB142-SUM($FD$6:FD142)+SUM($DU$6:DU142)))</f>
        <v>386158.85416666418</v>
      </c>
      <c r="FI142" s="42">
        <f>IF(DM142="","",FC142-SUM($FE$6:FE142)+SUM($DV$6:DV142)-SUM($DW$6:DW142))</f>
        <v>2335046.6666666614</v>
      </c>
      <c r="FJ142" s="152">
        <f t="shared" si="385"/>
        <v>0.26897356141477963</v>
      </c>
      <c r="FN142" s="8"/>
      <c r="FO142" s="8"/>
      <c r="FP142" s="8"/>
      <c r="FQ142" s="8"/>
      <c r="FR142" s="8"/>
      <c r="FS142" s="8"/>
      <c r="FT142" s="8"/>
      <c r="FU142" s="8"/>
      <c r="GC142" s="68">
        <f t="shared" si="349"/>
        <v>137</v>
      </c>
      <c r="GD142" s="78">
        <f t="shared" si="350"/>
        <v>0</v>
      </c>
      <c r="GE142" s="309">
        <f t="shared" si="351"/>
        <v>0.2644700502620248</v>
      </c>
      <c r="GF142" s="78">
        <f t="shared" si="352"/>
        <v>0</v>
      </c>
      <c r="GG142" s="310">
        <f t="shared" si="353"/>
        <v>0.11517763668228413</v>
      </c>
      <c r="GH142" s="78">
        <f t="shared" si="354"/>
        <v>0</v>
      </c>
      <c r="GI142" s="310">
        <f t="shared" si="355"/>
        <v>0.85833333333333328</v>
      </c>
      <c r="GJ142" s="311">
        <f t="shared" si="356"/>
        <v>0</v>
      </c>
      <c r="GK142" s="310">
        <f t="shared" si="357"/>
        <v>0.61891025641026254</v>
      </c>
      <c r="GL142" s="311">
        <f t="shared" si="358"/>
        <v>0</v>
      </c>
      <c r="GM142" s="310">
        <f t="shared" si="359"/>
        <v>0.25682811110012777</v>
      </c>
      <c r="HD142" s="13"/>
      <c r="HE142" s="24"/>
      <c r="HF142" s="13"/>
      <c r="HG142" s="14"/>
      <c r="HH142" s="13"/>
      <c r="HI142" s="13"/>
      <c r="HJ142" s="13"/>
      <c r="HK142" s="13"/>
      <c r="HL142" s="13"/>
      <c r="HM142" s="14"/>
      <c r="HN142" s="13"/>
      <c r="HO142" s="13"/>
    </row>
    <row r="143" spans="3:223" x14ac:dyDescent="0.2">
      <c r="C143" s="426">
        <f t="shared" si="346"/>
        <v>43556</v>
      </c>
      <c r="D143" s="155">
        <f t="shared" si="347"/>
        <v>75</v>
      </c>
      <c r="E143" s="155">
        <f t="shared" si="345"/>
        <v>12389583.5</v>
      </c>
      <c r="F143" s="155"/>
      <c r="G143" s="438">
        <f t="shared" si="348"/>
        <v>125767.61271367522</v>
      </c>
      <c r="I143" s="444">
        <f>IF(D143="","",'Mx FORECAST'!DX81)</f>
        <v>7607877.4535256438</v>
      </c>
      <c r="J143" s="155">
        <f>IF(D143="","",'Mx FORECAST'!DP81)</f>
        <v>0</v>
      </c>
      <c r="K143" s="155">
        <f>IF(D143="","",'Mx FORECAST'!DQ81)</f>
        <v>0</v>
      </c>
      <c r="M143" s="155">
        <f>IF(D143="","",'Mx FORECAST'!DR81)</f>
        <v>0</v>
      </c>
      <c r="O143" s="155">
        <f>IF(D143="","",'Mx FORECAST'!DS81)</f>
        <v>0</v>
      </c>
      <c r="Q143" s="155">
        <f>IF(D143="","",'Mx FORECAST'!DT81)</f>
        <v>0</v>
      </c>
      <c r="S143" s="155">
        <f>IF(D143="","",'Mx FORECAST'!DU81)</f>
        <v>0</v>
      </c>
      <c r="U143" s="155">
        <f>IF(D143="","",'Mx FORECAST'!DV81)</f>
        <v>0</v>
      </c>
      <c r="W143" s="540">
        <f>IF(D143="","",'Mx FORECAST'!DY81)</f>
        <v>4781706.0464743562</v>
      </c>
      <c r="X143" s="540"/>
      <c r="Y143" s="437">
        <f>IF(D143="","",'Mx FORECAST'!DZ81)</f>
        <v>0.38594566528199725</v>
      </c>
      <c r="AD143" s="155"/>
      <c r="AF143" s="155"/>
      <c r="AH143" s="155"/>
      <c r="AJ143" s="155"/>
      <c r="AK143" s="8"/>
      <c r="AL143" s="8"/>
      <c r="AM143" s="8"/>
      <c r="AN143" s="8"/>
      <c r="AO143" s="8"/>
      <c r="AP143" s="8"/>
      <c r="AQ143" s="8"/>
      <c r="AR143" s="8"/>
      <c r="AS143" s="8"/>
      <c r="AT143" s="8"/>
      <c r="AU143" s="8"/>
      <c r="AV143" s="8"/>
      <c r="AW143" s="8"/>
      <c r="AX143" s="8"/>
      <c r="AY143" s="8"/>
      <c r="AZ143" s="8"/>
      <c r="BZ143" s="9"/>
      <c r="CA143" s="9"/>
      <c r="CB143" s="9"/>
      <c r="DM143" s="44">
        <f t="shared" si="386"/>
        <v>137</v>
      </c>
      <c r="DN143" s="41">
        <f t="shared" si="360"/>
        <v>12666583.5</v>
      </c>
      <c r="DO143" s="41">
        <f t="shared" si="387"/>
        <v>163228.55021367522</v>
      </c>
      <c r="DP143" s="42">
        <f t="shared" si="361"/>
        <v>0</v>
      </c>
      <c r="DQ143" s="42">
        <f t="shared" si="362"/>
        <v>0</v>
      </c>
      <c r="DR143" s="42">
        <f t="shared" si="363"/>
        <v>0</v>
      </c>
      <c r="DS143" s="42">
        <f t="shared" si="364"/>
        <v>0</v>
      </c>
      <c r="DT143" s="42">
        <f t="shared" si="365"/>
        <v>0</v>
      </c>
      <c r="DU143" s="42">
        <f t="shared" si="366"/>
        <v>0</v>
      </c>
      <c r="DV143" s="42">
        <f t="shared" si="367"/>
        <v>0</v>
      </c>
      <c r="DW143" s="42">
        <f t="shared" si="368"/>
        <v>0</v>
      </c>
      <c r="DX143" s="42">
        <f t="shared" si="369"/>
        <v>9316651.5251068659</v>
      </c>
      <c r="DY143" s="42">
        <f>IF(DM143="",DY142,DN143-SUM($DO$6:DO143)+SUM($DP$6:DV143)-SUM($DW$6:DW143))</f>
        <v>3349931.9748931341</v>
      </c>
      <c r="DZ143" s="43">
        <f t="shared" si="388"/>
        <v>0.2644700502620248</v>
      </c>
      <c r="EA143" s="43"/>
      <c r="EB143" s="43" t="str">
        <f t="shared" si="398"/>
        <v>False</v>
      </c>
      <c r="EC143" s="41">
        <f t="shared" si="389"/>
        <v>264480</v>
      </c>
      <c r="ED143" s="41">
        <f t="shared" si="390"/>
        <v>686673.49999999988</v>
      </c>
      <c r="EE143" s="41">
        <f t="shared" si="370"/>
        <v>902280</v>
      </c>
      <c r="EF143" s="41">
        <f t="shared" si="391"/>
        <v>14693.333333333334</v>
      </c>
      <c r="EG143" s="42">
        <f t="shared" si="392"/>
        <v>9537.1319444444434</v>
      </c>
      <c r="EH143" s="42">
        <f t="shared" si="393"/>
        <v>6265.8333333333321</v>
      </c>
      <c r="EI143" s="42">
        <f t="shared" si="371"/>
        <v>161627</v>
      </c>
      <c r="EJ143" s="42">
        <f t="shared" si="372"/>
        <v>619914</v>
      </c>
      <c r="EK143" s="42">
        <f t="shared" si="373"/>
        <v>858419</v>
      </c>
      <c r="EL143" s="42">
        <f>IF(DM143="","",EC143-SUM($EF$6:EF143)+SUM($DP$6:DP143))</f>
        <v>102853.33333333465</v>
      </c>
      <c r="EM143" s="42">
        <f>IF(DM143="","",ED143-SUM($EG$6:EG143)+SUM($DQ$6:DQ143))</f>
        <v>66759.923611107632</v>
      </c>
      <c r="EN143" s="42">
        <f>IF(DM143="","",EE143-SUM($EH$6:EH143)+SUM($DR$6:DR143))</f>
        <v>43860.833333331975</v>
      </c>
      <c r="EO143" s="152">
        <f t="shared" si="374"/>
        <v>0.11517763668228413</v>
      </c>
      <c r="EP143" s="43"/>
      <c r="EQ143" s="42">
        <f t="shared" si="375"/>
        <v>448050</v>
      </c>
      <c r="ER143" s="42">
        <f t="shared" si="376"/>
        <v>248100</v>
      </c>
      <c r="ES143" s="42">
        <f t="shared" si="394"/>
        <v>3733.75</v>
      </c>
      <c r="ET143" s="42">
        <f t="shared" si="395"/>
        <v>6122.9807692307695</v>
      </c>
      <c r="EU143" s="42">
        <f t="shared" si="377"/>
        <v>63474</v>
      </c>
      <c r="EV143" s="42">
        <f t="shared" si="378"/>
        <v>94548</v>
      </c>
      <c r="EW143" s="42">
        <f>IF(DM143="","",IF(DS143&gt;0,DS143,EQ143-SUM($ES$6:ES143)+SUM($DS$6:DS143)))</f>
        <v>384576.25</v>
      </c>
      <c r="EX143" s="42">
        <f>IF(DM143="","",IF(DT143&gt;0,DT143,ER143-SUM($ET$6:ET143)+SUM($DT$6:DT143)))</f>
        <v>153551.63461538614</v>
      </c>
      <c r="EY143" s="43">
        <f t="shared" si="379"/>
        <v>0.61891025641026254</v>
      </c>
      <c r="EZ143" s="43">
        <f t="shared" si="380"/>
        <v>0.85833333333333328</v>
      </c>
      <c r="FA143" s="43"/>
      <c r="FB143" s="42">
        <f t="shared" si="381"/>
        <v>4935000</v>
      </c>
      <c r="FC143" s="42">
        <f t="shared" si="382"/>
        <v>5182000</v>
      </c>
      <c r="FD143" s="41">
        <f t="shared" si="396"/>
        <v>89960.9375</v>
      </c>
      <c r="FE143" s="41">
        <f t="shared" si="397"/>
        <v>32914.583333333336</v>
      </c>
      <c r="FF143" s="42">
        <f t="shared" si="383"/>
        <v>4638802</v>
      </c>
      <c r="FG143" s="42">
        <f t="shared" si="384"/>
        <v>2879868</v>
      </c>
      <c r="FH143" s="42">
        <f>IF(DM143="","",IF(DU143&gt;0,DU143,FB143-SUM($FD$6:FD143)+SUM($DU$6:DU143)))</f>
        <v>296197.91666666418</v>
      </c>
      <c r="FI143" s="42">
        <f>IF(DM143="","",FC143-SUM($FE$6:FE143)+SUM($DV$6:DV143)-SUM($DW$6:DW143))</f>
        <v>2302132.0833333284</v>
      </c>
      <c r="FJ143" s="152">
        <f t="shared" si="385"/>
        <v>0.25682811110012777</v>
      </c>
      <c r="FN143" s="8"/>
      <c r="FO143" s="8"/>
      <c r="FP143" s="8"/>
      <c r="FQ143" s="8"/>
      <c r="FR143" s="8"/>
      <c r="FS143" s="8"/>
      <c r="FT143" s="8"/>
      <c r="FU143" s="8"/>
      <c r="GC143" s="68">
        <f t="shared" si="349"/>
        <v>138</v>
      </c>
      <c r="GD143" s="78">
        <f t="shared" si="350"/>
        <v>0</v>
      </c>
      <c r="GE143" s="309">
        <f t="shared" si="351"/>
        <v>0.25158350116110301</v>
      </c>
      <c r="GF143" s="78">
        <f t="shared" si="352"/>
        <v>0</v>
      </c>
      <c r="GG143" s="310">
        <f t="shared" si="353"/>
        <v>9.8723688584814687E-2</v>
      </c>
      <c r="GH143" s="78">
        <f t="shared" si="354"/>
        <v>0</v>
      </c>
      <c r="GI143" s="310">
        <f t="shared" si="355"/>
        <v>0.85</v>
      </c>
      <c r="GJ143" s="311">
        <f t="shared" si="356"/>
        <v>0</v>
      </c>
      <c r="GK143" s="310">
        <f t="shared" si="357"/>
        <v>0.59423076923077545</v>
      </c>
      <c r="GL143" s="311">
        <f t="shared" si="358"/>
        <v>0</v>
      </c>
      <c r="GM143" s="310">
        <f t="shared" si="359"/>
        <v>0.24468266078547588</v>
      </c>
      <c r="HD143" s="13"/>
      <c r="HE143" s="24"/>
      <c r="HF143" s="13"/>
      <c r="HG143" s="14"/>
      <c r="HH143" s="13"/>
      <c r="HI143" s="13"/>
      <c r="HJ143" s="13"/>
      <c r="HK143" s="13"/>
      <c r="HL143" s="13"/>
      <c r="HM143" s="14"/>
      <c r="HN143" s="13"/>
      <c r="HO143" s="13"/>
    </row>
    <row r="144" spans="3:223" x14ac:dyDescent="0.2">
      <c r="C144" s="426">
        <f t="shared" si="346"/>
        <v>43586</v>
      </c>
      <c r="D144" s="155">
        <f t="shared" si="347"/>
        <v>76</v>
      </c>
      <c r="E144" s="155">
        <f t="shared" si="345"/>
        <v>12389583.5</v>
      </c>
      <c r="F144" s="155"/>
      <c r="G144" s="438">
        <f t="shared" si="348"/>
        <v>125767.61271367522</v>
      </c>
      <c r="I144" s="444">
        <f>IF(D144="","",'Mx FORECAST'!DX82)</f>
        <v>7733645.0662393197</v>
      </c>
      <c r="J144" s="155">
        <f>IF(D144="","",'Mx FORECAST'!DP82)</f>
        <v>0</v>
      </c>
      <c r="K144" s="155">
        <f>IF(D144="","",'Mx FORECAST'!DQ82)</f>
        <v>0</v>
      </c>
      <c r="M144" s="155">
        <f>IF(D144="","",'Mx FORECAST'!DR82)</f>
        <v>0</v>
      </c>
      <c r="O144" s="155">
        <f>IF(D144="","",'Mx FORECAST'!DS82)</f>
        <v>0</v>
      </c>
      <c r="Q144" s="155">
        <f>IF(D144="","",'Mx FORECAST'!DT82)</f>
        <v>0</v>
      </c>
      <c r="S144" s="155">
        <f>IF(D144="","",'Mx FORECAST'!DU82)</f>
        <v>0</v>
      </c>
      <c r="U144" s="155">
        <f>IF(D144="","",'Mx FORECAST'!DV82)</f>
        <v>0</v>
      </c>
      <c r="W144" s="540">
        <f>IF(D144="","",'Mx FORECAST'!DY82)</f>
        <v>4655938.4337606803</v>
      </c>
      <c r="X144" s="540"/>
      <c r="Y144" s="437">
        <f>IF(D144="","",'Mx FORECAST'!DZ82)</f>
        <v>0.37579458855583647</v>
      </c>
      <c r="AD144" s="155"/>
      <c r="AF144" s="155"/>
      <c r="AH144" s="155"/>
      <c r="AJ144" s="155"/>
      <c r="AK144" s="8"/>
      <c r="AL144" s="8"/>
      <c r="AM144" s="8"/>
      <c r="AN144" s="8"/>
      <c r="AO144" s="8"/>
      <c r="AP144" s="8"/>
      <c r="AQ144" s="8"/>
      <c r="AR144" s="8"/>
      <c r="AS144" s="8"/>
      <c r="AT144" s="8"/>
      <c r="AU144" s="8"/>
      <c r="AV144" s="8"/>
      <c r="AW144" s="8"/>
      <c r="AX144" s="8"/>
      <c r="AY144" s="8"/>
      <c r="AZ144" s="8"/>
      <c r="BZ144" s="9"/>
      <c r="CA144" s="9"/>
      <c r="CB144" s="9"/>
      <c r="DM144" s="44">
        <f t="shared" si="386"/>
        <v>138</v>
      </c>
      <c r="DN144" s="41">
        <f t="shared" si="360"/>
        <v>12666583.5</v>
      </c>
      <c r="DO144" s="41">
        <f t="shared" si="387"/>
        <v>163228.55021367522</v>
      </c>
      <c r="DP144" s="42">
        <f t="shared" si="361"/>
        <v>0</v>
      </c>
      <c r="DQ144" s="42">
        <f t="shared" si="362"/>
        <v>0</v>
      </c>
      <c r="DR144" s="42">
        <f t="shared" si="363"/>
        <v>0</v>
      </c>
      <c r="DS144" s="42">
        <f t="shared" si="364"/>
        <v>0</v>
      </c>
      <c r="DT144" s="42">
        <f t="shared" si="365"/>
        <v>0</v>
      </c>
      <c r="DU144" s="42">
        <f t="shared" si="366"/>
        <v>0</v>
      </c>
      <c r="DV144" s="42">
        <f t="shared" si="367"/>
        <v>0</v>
      </c>
      <c r="DW144" s="42">
        <f t="shared" si="368"/>
        <v>0</v>
      </c>
      <c r="DX144" s="42">
        <f t="shared" si="369"/>
        <v>9479880.0753205419</v>
      </c>
      <c r="DY144" s="42">
        <f>IF(DM144="",DY143,DN144-SUM($DO$6:DO144)+SUM($DP$6:DV144)-SUM($DW$6:DW144))</f>
        <v>3186703.4246794581</v>
      </c>
      <c r="DZ144" s="43">
        <f t="shared" si="388"/>
        <v>0.25158350116110301</v>
      </c>
      <c r="EA144" s="43"/>
      <c r="EB144" s="43" t="str">
        <f t="shared" si="398"/>
        <v>False</v>
      </c>
      <c r="EC144" s="41">
        <f t="shared" si="389"/>
        <v>264480</v>
      </c>
      <c r="ED144" s="41">
        <f t="shared" si="390"/>
        <v>686673.49999999988</v>
      </c>
      <c r="EE144" s="41">
        <f t="shared" si="370"/>
        <v>902280</v>
      </c>
      <c r="EF144" s="41">
        <f t="shared" si="391"/>
        <v>14693.333333333334</v>
      </c>
      <c r="EG144" s="42">
        <f t="shared" si="392"/>
        <v>9537.1319444444434</v>
      </c>
      <c r="EH144" s="42">
        <f t="shared" si="393"/>
        <v>6265.8333333333321</v>
      </c>
      <c r="EI144" s="42">
        <f t="shared" si="371"/>
        <v>176320</v>
      </c>
      <c r="EJ144" s="42">
        <f t="shared" si="372"/>
        <v>629451</v>
      </c>
      <c r="EK144" s="42">
        <f t="shared" si="373"/>
        <v>864685</v>
      </c>
      <c r="EL144" s="42">
        <f>IF(DM144="","",EC144-SUM($EF$6:EF144)+SUM($DP$6:DP144))</f>
        <v>88160.000000001397</v>
      </c>
      <c r="EM144" s="42">
        <f>IF(DM144="","",ED144-SUM($EG$6:EG144)+SUM($DQ$6:DQ144))</f>
        <v>57222.791666663135</v>
      </c>
      <c r="EN144" s="42">
        <f>IF(DM144="","",EE144-SUM($EH$6:EH144)+SUM($DR$6:DR144))</f>
        <v>37594.999999998603</v>
      </c>
      <c r="EO144" s="152">
        <f t="shared" si="374"/>
        <v>9.8723688584814687E-2</v>
      </c>
      <c r="EP144" s="43"/>
      <c r="EQ144" s="42">
        <f t="shared" si="375"/>
        <v>448050</v>
      </c>
      <c r="ER144" s="42">
        <f t="shared" si="376"/>
        <v>248100</v>
      </c>
      <c r="ES144" s="42">
        <f t="shared" si="394"/>
        <v>3733.75</v>
      </c>
      <c r="ET144" s="42">
        <f t="shared" si="395"/>
        <v>6122.9807692307695</v>
      </c>
      <c r="EU144" s="42">
        <f t="shared" si="377"/>
        <v>67208</v>
      </c>
      <c r="EV144" s="42">
        <f t="shared" si="378"/>
        <v>100671</v>
      </c>
      <c r="EW144" s="42">
        <f>IF(DM144="","",IF(DS144&gt;0,DS144,EQ144-SUM($ES$6:ES144)+SUM($DS$6:DS144)))</f>
        <v>380842.5</v>
      </c>
      <c r="EX144" s="42">
        <f>IF(DM144="","",IF(DT144&gt;0,DT144,ER144-SUM($ET$6:ET144)+SUM($DT$6:DT144)))</f>
        <v>147428.65384615539</v>
      </c>
      <c r="EY144" s="43">
        <f t="shared" si="379"/>
        <v>0.59423076923077545</v>
      </c>
      <c r="EZ144" s="43">
        <f t="shared" si="380"/>
        <v>0.85</v>
      </c>
      <c r="FA144" s="43"/>
      <c r="FB144" s="42">
        <f t="shared" si="381"/>
        <v>4935000</v>
      </c>
      <c r="FC144" s="42">
        <f t="shared" si="382"/>
        <v>5182000</v>
      </c>
      <c r="FD144" s="41">
        <f t="shared" si="396"/>
        <v>89960.9375</v>
      </c>
      <c r="FE144" s="41">
        <f t="shared" si="397"/>
        <v>32914.583333333336</v>
      </c>
      <c r="FF144" s="42">
        <f t="shared" si="383"/>
        <v>4728763</v>
      </c>
      <c r="FG144" s="42">
        <f t="shared" si="384"/>
        <v>2912783</v>
      </c>
      <c r="FH144" s="42">
        <f>IF(DM144="","",IF(DU144&gt;0,DU144,FB144-SUM($FD$6:FD144)+SUM($DU$6:DU144)))</f>
        <v>206236.97916666418</v>
      </c>
      <c r="FI144" s="42">
        <f>IF(DM144="","",FC144-SUM($FE$6:FE144)+SUM($DV$6:DV144)-SUM($DW$6:DW144))</f>
        <v>2269217.4999999953</v>
      </c>
      <c r="FJ144" s="152">
        <f t="shared" si="385"/>
        <v>0.24468266078547588</v>
      </c>
      <c r="FN144" s="8"/>
      <c r="FO144" s="8"/>
      <c r="FP144" s="8"/>
      <c r="FQ144" s="8"/>
      <c r="FR144" s="8"/>
      <c r="FS144" s="8"/>
      <c r="FT144" s="8"/>
      <c r="FU144" s="8"/>
      <c r="GC144" s="68">
        <f t="shared" si="349"/>
        <v>139</v>
      </c>
      <c r="GD144" s="78">
        <f t="shared" si="350"/>
        <v>0</v>
      </c>
      <c r="GE144" s="309">
        <f t="shared" si="351"/>
        <v>0.23869695206018121</v>
      </c>
      <c r="GF144" s="78">
        <f t="shared" si="352"/>
        <v>0</v>
      </c>
      <c r="GG144" s="310">
        <f t="shared" si="353"/>
        <v>8.2269740487345255E-2</v>
      </c>
      <c r="GH144" s="78">
        <f t="shared" si="354"/>
        <v>0</v>
      </c>
      <c r="GI144" s="310">
        <f t="shared" si="355"/>
        <v>0.84166666666666667</v>
      </c>
      <c r="GJ144" s="311">
        <f t="shared" si="356"/>
        <v>0</v>
      </c>
      <c r="GK144" s="310">
        <f t="shared" si="357"/>
        <v>0.56955128205128835</v>
      </c>
      <c r="GL144" s="311">
        <f t="shared" si="358"/>
        <v>0</v>
      </c>
      <c r="GM144" s="310">
        <f t="shared" si="359"/>
        <v>0.23253721047082401</v>
      </c>
      <c r="HD144" s="13"/>
      <c r="HE144" s="24"/>
      <c r="HF144" s="13"/>
      <c r="HG144" s="14"/>
      <c r="HH144" s="13"/>
      <c r="HI144" s="13"/>
      <c r="HJ144" s="13"/>
      <c r="HK144" s="13"/>
      <c r="HL144" s="13"/>
      <c r="HM144" s="14"/>
      <c r="HN144" s="13"/>
      <c r="HO144" s="13"/>
    </row>
    <row r="145" spans="3:223" x14ac:dyDescent="0.2">
      <c r="C145" s="426">
        <f t="shared" si="346"/>
        <v>43617</v>
      </c>
      <c r="D145" s="155">
        <f t="shared" si="347"/>
        <v>77</v>
      </c>
      <c r="E145" s="155">
        <f t="shared" si="345"/>
        <v>12389583.5</v>
      </c>
      <c r="F145" s="155"/>
      <c r="G145" s="438">
        <f t="shared" si="348"/>
        <v>125767.61271367522</v>
      </c>
      <c r="I145" s="444">
        <f>IF(D145="","",'Mx FORECAST'!DX83)</f>
        <v>7859412.6789529957</v>
      </c>
      <c r="J145" s="155">
        <f>IF(D145="","",'Mx FORECAST'!DP83)</f>
        <v>0</v>
      </c>
      <c r="K145" s="155">
        <f>IF(D145="","",'Mx FORECAST'!DQ83)</f>
        <v>0</v>
      </c>
      <c r="M145" s="155">
        <f>IF(D145="","",'Mx FORECAST'!DR83)</f>
        <v>0</v>
      </c>
      <c r="O145" s="155">
        <f>IF(D145="","",'Mx FORECAST'!DS83)</f>
        <v>0</v>
      </c>
      <c r="Q145" s="155">
        <f>IF(D145="","",'Mx FORECAST'!DT83)</f>
        <v>0</v>
      </c>
      <c r="S145" s="155">
        <f>IF(D145="","",'Mx FORECAST'!DU83)</f>
        <v>0</v>
      </c>
      <c r="U145" s="155">
        <f>IF(D145="","",'Mx FORECAST'!DV83)</f>
        <v>0</v>
      </c>
      <c r="W145" s="540">
        <f>IF(D145="","",'Mx FORECAST'!DY83)</f>
        <v>4530170.8210470043</v>
      </c>
      <c r="X145" s="540"/>
      <c r="Y145" s="437">
        <f>IF(D145="","",'Mx FORECAST'!DZ83)</f>
        <v>0.36564351182967564</v>
      </c>
      <c r="AD145" s="155"/>
      <c r="AF145" s="155"/>
      <c r="AH145" s="155"/>
      <c r="AJ145" s="155"/>
      <c r="AK145" s="8"/>
      <c r="AL145" s="8"/>
      <c r="AM145" s="8"/>
      <c r="AN145" s="8"/>
      <c r="AO145" s="8"/>
      <c r="AP145" s="8"/>
      <c r="AQ145" s="8"/>
      <c r="AR145" s="8"/>
      <c r="AS145" s="8"/>
      <c r="AT145" s="8"/>
      <c r="AU145" s="8"/>
      <c r="AV145" s="8"/>
      <c r="AW145" s="8"/>
      <c r="AX145" s="8"/>
      <c r="AY145" s="8"/>
      <c r="AZ145" s="8"/>
      <c r="BZ145" s="9"/>
      <c r="CA145" s="9"/>
      <c r="CB145" s="9"/>
      <c r="DM145" s="44">
        <f t="shared" si="386"/>
        <v>139</v>
      </c>
      <c r="DN145" s="41">
        <f t="shared" si="360"/>
        <v>12666583.5</v>
      </c>
      <c r="DO145" s="41">
        <f t="shared" si="387"/>
        <v>163228.55021367522</v>
      </c>
      <c r="DP145" s="42">
        <f t="shared" si="361"/>
        <v>0</v>
      </c>
      <c r="DQ145" s="42">
        <f t="shared" si="362"/>
        <v>0</v>
      </c>
      <c r="DR145" s="42">
        <f t="shared" si="363"/>
        <v>0</v>
      </c>
      <c r="DS145" s="42">
        <f t="shared" si="364"/>
        <v>0</v>
      </c>
      <c r="DT145" s="42">
        <f t="shared" si="365"/>
        <v>0</v>
      </c>
      <c r="DU145" s="42">
        <f t="shared" si="366"/>
        <v>0</v>
      </c>
      <c r="DV145" s="42">
        <f t="shared" si="367"/>
        <v>0</v>
      </c>
      <c r="DW145" s="42">
        <f t="shared" si="368"/>
        <v>0</v>
      </c>
      <c r="DX145" s="42">
        <f t="shared" si="369"/>
        <v>9643108.6255342178</v>
      </c>
      <c r="DY145" s="42">
        <f>IF(DM145="",DY144,DN145-SUM($DO$6:DO145)+SUM($DP$6:DV145)-SUM($DW$6:DW145))</f>
        <v>3023474.8744657822</v>
      </c>
      <c r="DZ145" s="43">
        <f t="shared" si="388"/>
        <v>0.23869695206018121</v>
      </c>
      <c r="EA145" s="43"/>
      <c r="EB145" s="43" t="str">
        <f t="shared" si="398"/>
        <v>False</v>
      </c>
      <c r="EC145" s="41">
        <f t="shared" si="389"/>
        <v>264480</v>
      </c>
      <c r="ED145" s="41">
        <f t="shared" si="390"/>
        <v>686673.49999999988</v>
      </c>
      <c r="EE145" s="41">
        <f t="shared" si="370"/>
        <v>902280</v>
      </c>
      <c r="EF145" s="41">
        <f t="shared" si="391"/>
        <v>14693.333333333334</v>
      </c>
      <c r="EG145" s="42">
        <f t="shared" si="392"/>
        <v>9537.1319444444434</v>
      </c>
      <c r="EH145" s="42">
        <f t="shared" si="393"/>
        <v>6265.8333333333321</v>
      </c>
      <c r="EI145" s="42">
        <f t="shared" si="371"/>
        <v>191013</v>
      </c>
      <c r="EJ145" s="42">
        <f t="shared" si="372"/>
        <v>638988</v>
      </c>
      <c r="EK145" s="42">
        <f t="shared" si="373"/>
        <v>870951</v>
      </c>
      <c r="EL145" s="42">
        <f>IF(DM145="","",EC145-SUM($EF$6:EF145)+SUM($DP$6:DP145))</f>
        <v>73466.666666668141</v>
      </c>
      <c r="EM145" s="42">
        <f>IF(DM145="","",ED145-SUM($EG$6:EG145)+SUM($DQ$6:DQ145))</f>
        <v>47685.659722218639</v>
      </c>
      <c r="EN145" s="42">
        <f>IF(DM145="","",EE145-SUM($EH$6:EH145)+SUM($DR$6:DR145))</f>
        <v>31329.166666665231</v>
      </c>
      <c r="EO145" s="152">
        <f t="shared" si="374"/>
        <v>8.2269740487345255E-2</v>
      </c>
      <c r="EP145" s="43"/>
      <c r="EQ145" s="42">
        <f t="shared" si="375"/>
        <v>448050</v>
      </c>
      <c r="ER145" s="42">
        <f t="shared" si="376"/>
        <v>248100</v>
      </c>
      <c r="ES145" s="42">
        <f t="shared" si="394"/>
        <v>3733.75</v>
      </c>
      <c r="ET145" s="42">
        <f t="shared" si="395"/>
        <v>6122.9807692307695</v>
      </c>
      <c r="EU145" s="42">
        <f t="shared" si="377"/>
        <v>70941</v>
      </c>
      <c r="EV145" s="42">
        <f t="shared" si="378"/>
        <v>106794</v>
      </c>
      <c r="EW145" s="42">
        <f>IF(DM145="","",IF(DS145&gt;0,DS145,EQ145-SUM($ES$6:ES145)+SUM($DS$6:DS145)))</f>
        <v>377108.75</v>
      </c>
      <c r="EX145" s="42">
        <f>IF(DM145="","",IF(DT145&gt;0,DT145,ER145-SUM($ET$6:ET145)+SUM($DT$6:DT145)))</f>
        <v>141305.67307692464</v>
      </c>
      <c r="EY145" s="43">
        <f t="shared" si="379"/>
        <v>0.56955128205128835</v>
      </c>
      <c r="EZ145" s="43">
        <f t="shared" si="380"/>
        <v>0.84166666666666667</v>
      </c>
      <c r="FA145" s="43"/>
      <c r="FB145" s="42">
        <f t="shared" si="381"/>
        <v>4935000</v>
      </c>
      <c r="FC145" s="42">
        <f t="shared" si="382"/>
        <v>5182000</v>
      </c>
      <c r="FD145" s="41">
        <f t="shared" si="396"/>
        <v>89960.9375</v>
      </c>
      <c r="FE145" s="41">
        <f t="shared" si="397"/>
        <v>32914.583333333336</v>
      </c>
      <c r="FF145" s="42">
        <f t="shared" si="383"/>
        <v>4818724</v>
      </c>
      <c r="FG145" s="42">
        <f t="shared" si="384"/>
        <v>2945697</v>
      </c>
      <c r="FH145" s="42">
        <f>IF(DM145="","",IF(DU145&gt;0,DU145,FB145-SUM($FD$6:FD145)+SUM($DU$6:DU145)))</f>
        <v>116276.04166666418</v>
      </c>
      <c r="FI145" s="42">
        <f>IF(DM145="","",FC145-SUM($FE$6:FE145)+SUM($DV$6:DV145)-SUM($DW$6:DW145))</f>
        <v>2236302.9166666623</v>
      </c>
      <c r="FJ145" s="152">
        <f t="shared" si="385"/>
        <v>0.23253721047082401</v>
      </c>
      <c r="FN145" s="8"/>
      <c r="FO145" s="8"/>
      <c r="FP145" s="8"/>
      <c r="FQ145" s="8"/>
      <c r="FR145" s="8"/>
      <c r="FS145" s="8"/>
      <c r="FT145" s="8"/>
      <c r="FU145" s="8"/>
      <c r="GC145" s="68">
        <f t="shared" si="349"/>
        <v>140</v>
      </c>
      <c r="GD145" s="78">
        <f t="shared" si="350"/>
        <v>6481755</v>
      </c>
      <c r="GE145" s="309">
        <f t="shared" si="351"/>
        <v>0.7173024457820143</v>
      </c>
      <c r="GF145" s="78">
        <f t="shared" si="352"/>
        <v>0</v>
      </c>
      <c r="GG145" s="310">
        <f t="shared" si="353"/>
        <v>6.581579238987581E-2</v>
      </c>
      <c r="GH145" s="78">
        <f t="shared" si="354"/>
        <v>0</v>
      </c>
      <c r="GI145" s="310">
        <f t="shared" si="355"/>
        <v>0.83333333333333337</v>
      </c>
      <c r="GJ145" s="311">
        <f t="shared" si="356"/>
        <v>0</v>
      </c>
      <c r="GK145" s="310">
        <f t="shared" si="357"/>
        <v>0.54487179487180126</v>
      </c>
      <c r="GL145" s="311">
        <f t="shared" si="358"/>
        <v>6481755</v>
      </c>
      <c r="GM145" s="310">
        <f t="shared" si="359"/>
        <v>0.8331435537544063</v>
      </c>
      <c r="HD145" s="13"/>
      <c r="HE145" s="24"/>
      <c r="HF145" s="13"/>
      <c r="HG145" s="14"/>
      <c r="HH145" s="13"/>
      <c r="HI145" s="13"/>
      <c r="HJ145" s="13"/>
      <c r="HK145" s="13"/>
      <c r="HL145" s="13"/>
      <c r="HM145" s="14"/>
      <c r="HN145" s="13"/>
      <c r="HO145" s="13"/>
    </row>
    <row r="146" spans="3:223" x14ac:dyDescent="0.2">
      <c r="C146" s="426">
        <f t="shared" si="346"/>
        <v>43647</v>
      </c>
      <c r="D146" s="155">
        <f t="shared" si="347"/>
        <v>78</v>
      </c>
      <c r="E146" s="155">
        <f t="shared" si="345"/>
        <v>12389583.5</v>
      </c>
      <c r="F146" s="155"/>
      <c r="G146" s="438">
        <f t="shared" si="348"/>
        <v>125767.61271367522</v>
      </c>
      <c r="I146" s="444">
        <f>IF(D146="","",'Mx FORECAST'!DX84)</f>
        <v>7985180.2916666716</v>
      </c>
      <c r="J146" s="155">
        <f>IF(D146="","",'Mx FORECAST'!DP84)</f>
        <v>0</v>
      </c>
      <c r="K146" s="155">
        <f>IF(D146="","",'Mx FORECAST'!DQ84)</f>
        <v>0</v>
      </c>
      <c r="M146" s="155">
        <f>IF(D146="","",'Mx FORECAST'!DR84)</f>
        <v>0</v>
      </c>
      <c r="O146" s="155">
        <f>IF(D146="","",'Mx FORECAST'!DS84)</f>
        <v>0</v>
      </c>
      <c r="Q146" s="155">
        <f>IF(D146="","",'Mx FORECAST'!DT84)</f>
        <v>0</v>
      </c>
      <c r="S146" s="155">
        <f>IF(D146="","",'Mx FORECAST'!DU84)</f>
        <v>0</v>
      </c>
      <c r="U146" s="155">
        <f>IF(D146="","",'Mx FORECAST'!DV84)</f>
        <v>0</v>
      </c>
      <c r="W146" s="540">
        <f>IF(D146="","",'Mx FORECAST'!DY84)</f>
        <v>4404403.2083333284</v>
      </c>
      <c r="X146" s="540"/>
      <c r="Y146" s="437">
        <f>IF(D146="","",'Mx FORECAST'!DZ84)</f>
        <v>0.35549243510351486</v>
      </c>
      <c r="AD146" s="155"/>
      <c r="AF146" s="155"/>
      <c r="AH146" s="155"/>
      <c r="AJ146" s="155"/>
      <c r="AK146" s="8"/>
      <c r="AL146" s="8"/>
      <c r="AM146" s="8"/>
      <c r="AN146" s="8"/>
      <c r="AO146" s="8"/>
      <c r="AP146" s="8"/>
      <c r="AQ146" s="8"/>
      <c r="AR146" s="8"/>
      <c r="AS146" s="8"/>
      <c r="AT146" s="8"/>
      <c r="AU146" s="8"/>
      <c r="AV146" s="8"/>
      <c r="AW146" s="8"/>
      <c r="AX146" s="8"/>
      <c r="AY146" s="8"/>
      <c r="AZ146" s="8"/>
      <c r="BZ146" s="9"/>
      <c r="CA146" s="9"/>
      <c r="CB146" s="9"/>
      <c r="DM146" s="44">
        <f t="shared" si="386"/>
        <v>140</v>
      </c>
      <c r="DN146" s="41">
        <f t="shared" si="360"/>
        <v>12666583.5</v>
      </c>
      <c r="DO146" s="41">
        <f t="shared" si="387"/>
        <v>163228.55021367522</v>
      </c>
      <c r="DP146" s="42">
        <f t="shared" si="361"/>
        <v>0</v>
      </c>
      <c r="DQ146" s="42">
        <f t="shared" si="362"/>
        <v>0</v>
      </c>
      <c r="DR146" s="42">
        <f t="shared" si="363"/>
        <v>0</v>
      </c>
      <c r="DS146" s="42">
        <f t="shared" si="364"/>
        <v>0</v>
      </c>
      <c r="DT146" s="42">
        <f t="shared" si="365"/>
        <v>0</v>
      </c>
      <c r="DU146" s="42">
        <f t="shared" si="366"/>
        <v>5058375</v>
      </c>
      <c r="DV146" s="42">
        <f t="shared" si="367"/>
        <v>1423380</v>
      </c>
      <c r="DW146" s="42">
        <f t="shared" si="368"/>
        <v>256230</v>
      </c>
      <c r="DX146" s="42">
        <f t="shared" si="369"/>
        <v>3580812.1757478938</v>
      </c>
      <c r="DY146" s="42">
        <f>IF(DM146="",DY145,DN146-SUM($DO$6:DO146)+SUM($DP$6:DV146)-SUM($DW$6:DW146))</f>
        <v>9085771.3242521062</v>
      </c>
      <c r="DZ146" s="43">
        <f t="shared" si="388"/>
        <v>0.7173024457820143</v>
      </c>
      <c r="EA146" s="43"/>
      <c r="EB146" s="43" t="str">
        <f t="shared" si="398"/>
        <v>False</v>
      </c>
      <c r="EC146" s="41">
        <f t="shared" si="389"/>
        <v>264480</v>
      </c>
      <c r="ED146" s="41">
        <f t="shared" si="390"/>
        <v>686673.49999999988</v>
      </c>
      <c r="EE146" s="41">
        <f t="shared" si="370"/>
        <v>902280</v>
      </c>
      <c r="EF146" s="41">
        <f t="shared" si="391"/>
        <v>14693.333333333334</v>
      </c>
      <c r="EG146" s="42">
        <f t="shared" si="392"/>
        <v>9537.1319444444434</v>
      </c>
      <c r="EH146" s="42">
        <f t="shared" si="393"/>
        <v>6265.8333333333321</v>
      </c>
      <c r="EI146" s="42">
        <f t="shared" si="371"/>
        <v>205707</v>
      </c>
      <c r="EJ146" s="42">
        <f t="shared" si="372"/>
        <v>648525</v>
      </c>
      <c r="EK146" s="42">
        <f t="shared" si="373"/>
        <v>877217</v>
      </c>
      <c r="EL146" s="42">
        <f>IF(DM146="","",EC146-SUM($EF$6:EF146)+SUM($DP$6:DP146))</f>
        <v>58773.333333334886</v>
      </c>
      <c r="EM146" s="42">
        <f>IF(DM146="","",ED146-SUM($EG$6:EG146)+SUM($DQ$6:DQ146))</f>
        <v>38148.527777774143</v>
      </c>
      <c r="EN146" s="42">
        <f>IF(DM146="","",EE146-SUM($EH$6:EH146)+SUM($DR$6:DR146))</f>
        <v>25063.333333331859</v>
      </c>
      <c r="EO146" s="152">
        <f t="shared" si="374"/>
        <v>6.581579238987581E-2</v>
      </c>
      <c r="EP146" s="43"/>
      <c r="EQ146" s="42">
        <f t="shared" si="375"/>
        <v>448050</v>
      </c>
      <c r="ER146" s="42">
        <f t="shared" si="376"/>
        <v>248100</v>
      </c>
      <c r="ES146" s="42">
        <f t="shared" si="394"/>
        <v>3733.75</v>
      </c>
      <c r="ET146" s="42">
        <f t="shared" si="395"/>
        <v>6122.9807692307695</v>
      </c>
      <c r="EU146" s="42">
        <f t="shared" si="377"/>
        <v>74675</v>
      </c>
      <c r="EV146" s="42">
        <f t="shared" si="378"/>
        <v>112917</v>
      </c>
      <c r="EW146" s="42">
        <f>IF(DM146="","",IF(DS146&gt;0,DS146,EQ146-SUM($ES$6:ES146)+SUM($DS$6:DS146)))</f>
        <v>373375</v>
      </c>
      <c r="EX146" s="42">
        <f>IF(DM146="","",IF(DT146&gt;0,DT146,ER146-SUM($ET$6:ET146)+SUM($DT$6:DT146)))</f>
        <v>135182.69230769388</v>
      </c>
      <c r="EY146" s="43">
        <f t="shared" si="379"/>
        <v>0.54487179487180126</v>
      </c>
      <c r="EZ146" s="43">
        <f t="shared" si="380"/>
        <v>0.83333333333333337</v>
      </c>
      <c r="FA146" s="43"/>
      <c r="FB146" s="42">
        <f t="shared" si="381"/>
        <v>4935000</v>
      </c>
      <c r="FC146" s="42">
        <f t="shared" si="382"/>
        <v>5182000</v>
      </c>
      <c r="FD146" s="41">
        <f t="shared" si="396"/>
        <v>89960.9375</v>
      </c>
      <c r="FE146" s="41">
        <f t="shared" si="397"/>
        <v>32914.583333333336</v>
      </c>
      <c r="FF146" s="42">
        <f t="shared" si="383"/>
        <v>-123375</v>
      </c>
      <c r="FG146" s="42">
        <f t="shared" si="384"/>
        <v>1811462</v>
      </c>
      <c r="FH146" s="42">
        <f>IF(DM146="","",IF(DU146&gt;0,DU146,FB146-SUM($FD$6:FD146)+SUM($DU$6:DU146)))</f>
        <v>5058375</v>
      </c>
      <c r="FI146" s="42">
        <f>IF(DM146="","",FC146-SUM($FE$6:FE146)+SUM($DV$6:DV146)-SUM($DW$6:DW146))</f>
        <v>3370538.3333333293</v>
      </c>
      <c r="FJ146" s="152">
        <f t="shared" si="385"/>
        <v>0.8331435537544063</v>
      </c>
      <c r="FN146" s="8"/>
      <c r="FO146" s="8"/>
      <c r="FP146" s="8"/>
      <c r="FQ146" s="8"/>
      <c r="FR146" s="8"/>
      <c r="FS146" s="8"/>
      <c r="FT146" s="8"/>
      <c r="FU146" s="8"/>
      <c r="GC146" s="68">
        <f t="shared" si="349"/>
        <v>141</v>
      </c>
      <c r="GD146" s="78">
        <f t="shared" si="350"/>
        <v>0</v>
      </c>
      <c r="GE146" s="309">
        <f t="shared" si="351"/>
        <v>0.70441589668109239</v>
      </c>
      <c r="GF146" s="78">
        <f t="shared" si="352"/>
        <v>0</v>
      </c>
      <c r="GG146" s="310">
        <f t="shared" si="353"/>
        <v>4.9361844292406372E-2</v>
      </c>
      <c r="GH146" s="78">
        <f t="shared" si="354"/>
        <v>0</v>
      </c>
      <c r="GI146" s="310">
        <f t="shared" si="355"/>
        <v>0.82499999999999996</v>
      </c>
      <c r="GJ146" s="311">
        <f t="shared" si="356"/>
        <v>0</v>
      </c>
      <c r="GK146" s="310">
        <f t="shared" si="357"/>
        <v>0.52019230769231417</v>
      </c>
      <c r="GL146" s="311">
        <f t="shared" si="358"/>
        <v>0</v>
      </c>
      <c r="GM146" s="310">
        <f t="shared" si="359"/>
        <v>0.82359918124608678</v>
      </c>
      <c r="HD146" s="13"/>
      <c r="HE146" s="24"/>
      <c r="HF146" s="13"/>
      <c r="HG146" s="14"/>
      <c r="HH146" s="13"/>
      <c r="HI146" s="13"/>
      <c r="HJ146" s="13"/>
      <c r="HK146" s="13"/>
      <c r="HL146" s="13"/>
      <c r="HM146" s="14"/>
      <c r="HN146" s="13"/>
      <c r="HO146" s="13"/>
    </row>
    <row r="147" spans="3:223" x14ac:dyDescent="0.2">
      <c r="C147" s="426">
        <f t="shared" si="346"/>
        <v>43678</v>
      </c>
      <c r="D147" s="155">
        <f t="shared" si="347"/>
        <v>79</v>
      </c>
      <c r="E147" s="155">
        <f t="shared" si="345"/>
        <v>12389583.5</v>
      </c>
      <c r="F147" s="155"/>
      <c r="G147" s="438">
        <f t="shared" si="348"/>
        <v>125767.61271367522</v>
      </c>
      <c r="I147" s="444">
        <f>IF(D147="","",'Mx FORECAST'!DX85)</f>
        <v>8110947.9043803476</v>
      </c>
      <c r="J147" s="155">
        <f>IF(D147="","",'Mx FORECAST'!DP85)</f>
        <v>0</v>
      </c>
      <c r="K147" s="155">
        <f>IF(D147="","",'Mx FORECAST'!DQ85)</f>
        <v>0</v>
      </c>
      <c r="M147" s="155">
        <f>IF(D147="","",'Mx FORECAST'!DR85)</f>
        <v>0</v>
      </c>
      <c r="O147" s="155">
        <f>IF(D147="","",'Mx FORECAST'!DS85)</f>
        <v>0</v>
      </c>
      <c r="Q147" s="155">
        <f>IF(D147="","",'Mx FORECAST'!DT85)</f>
        <v>0</v>
      </c>
      <c r="S147" s="155">
        <f>IF(D147="","",'Mx FORECAST'!DU85)</f>
        <v>0</v>
      </c>
      <c r="U147" s="155">
        <f>IF(D147="","",'Mx FORECAST'!DV85)</f>
        <v>0</v>
      </c>
      <c r="W147" s="540">
        <f>IF(D147="","",'Mx FORECAST'!DY85)</f>
        <v>4278635.5956196524</v>
      </c>
      <c r="X147" s="540"/>
      <c r="Y147" s="437">
        <f>IF(D147="","",'Mx FORECAST'!DZ85)</f>
        <v>0.34534135837735402</v>
      </c>
      <c r="AD147" s="155"/>
      <c r="AF147" s="155"/>
      <c r="AH147" s="155"/>
      <c r="AJ147" s="155"/>
      <c r="AK147" s="8"/>
      <c r="AL147" s="8"/>
      <c r="AM147" s="8"/>
      <c r="AN147" s="8"/>
      <c r="AO147" s="8"/>
      <c r="AP147" s="8"/>
      <c r="AQ147" s="8"/>
      <c r="AR147" s="8"/>
      <c r="AS147" s="8"/>
      <c r="AT147" s="8"/>
      <c r="AU147" s="8"/>
      <c r="AV147" s="8"/>
      <c r="AW147" s="8"/>
      <c r="AX147" s="8"/>
      <c r="AY147" s="8"/>
      <c r="AZ147" s="8"/>
      <c r="BZ147" s="9"/>
      <c r="CA147" s="9"/>
      <c r="CB147" s="9"/>
      <c r="DM147" s="44">
        <f t="shared" si="386"/>
        <v>141</v>
      </c>
      <c r="DN147" s="41">
        <f t="shared" si="360"/>
        <v>12666583.5</v>
      </c>
      <c r="DO147" s="41">
        <f t="shared" si="387"/>
        <v>163228.55021367522</v>
      </c>
      <c r="DP147" s="42">
        <f t="shared" si="361"/>
        <v>0</v>
      </c>
      <c r="DQ147" s="42">
        <f t="shared" si="362"/>
        <v>0</v>
      </c>
      <c r="DR147" s="42">
        <f t="shared" si="363"/>
        <v>0</v>
      </c>
      <c r="DS147" s="42">
        <f t="shared" si="364"/>
        <v>0</v>
      </c>
      <c r="DT147" s="42">
        <f t="shared" si="365"/>
        <v>0</v>
      </c>
      <c r="DU147" s="42">
        <f t="shared" si="366"/>
        <v>0</v>
      </c>
      <c r="DV147" s="42">
        <f t="shared" si="367"/>
        <v>0</v>
      </c>
      <c r="DW147" s="42">
        <f t="shared" si="368"/>
        <v>0</v>
      </c>
      <c r="DX147" s="42">
        <f t="shared" si="369"/>
        <v>3744040.7259615697</v>
      </c>
      <c r="DY147" s="42">
        <f>IF(DM147="",DY146,DN147-SUM($DO$6:DO147)+SUM($DP$6:DV147)-SUM($DW$6:DW147))</f>
        <v>8922542.7740384303</v>
      </c>
      <c r="DZ147" s="43">
        <f t="shared" si="388"/>
        <v>0.70441589668109239</v>
      </c>
      <c r="EA147" s="43"/>
      <c r="EB147" s="43" t="str">
        <f t="shared" si="398"/>
        <v>False</v>
      </c>
      <c r="EC147" s="41">
        <f t="shared" si="389"/>
        <v>264480</v>
      </c>
      <c r="ED147" s="41">
        <f t="shared" si="390"/>
        <v>686673.49999999988</v>
      </c>
      <c r="EE147" s="41">
        <f t="shared" si="370"/>
        <v>902280</v>
      </c>
      <c r="EF147" s="41">
        <f t="shared" si="391"/>
        <v>14693.333333333334</v>
      </c>
      <c r="EG147" s="42">
        <f t="shared" si="392"/>
        <v>9537.1319444444434</v>
      </c>
      <c r="EH147" s="42">
        <f t="shared" si="393"/>
        <v>6265.8333333333321</v>
      </c>
      <c r="EI147" s="42">
        <f t="shared" si="371"/>
        <v>220400</v>
      </c>
      <c r="EJ147" s="42">
        <f t="shared" si="372"/>
        <v>658062</v>
      </c>
      <c r="EK147" s="42">
        <f t="shared" si="373"/>
        <v>883483</v>
      </c>
      <c r="EL147" s="42">
        <f>IF(DM147="","",EC147-SUM($EF$6:EF147)+SUM($DP$6:DP147))</f>
        <v>44080.00000000163</v>
      </c>
      <c r="EM147" s="42">
        <f>IF(DM147="","",ED147-SUM($EG$6:EG147)+SUM($DQ$6:DQ147))</f>
        <v>28611.395833329647</v>
      </c>
      <c r="EN147" s="42">
        <f>IF(DM147="","",EE147-SUM($EH$6:EH147)+SUM($DR$6:DR147))</f>
        <v>18797.499999998487</v>
      </c>
      <c r="EO147" s="152">
        <f t="shared" si="374"/>
        <v>4.9361844292406372E-2</v>
      </c>
      <c r="EP147" s="43"/>
      <c r="EQ147" s="42">
        <f t="shared" si="375"/>
        <v>448050</v>
      </c>
      <c r="ER147" s="42">
        <f t="shared" si="376"/>
        <v>248100</v>
      </c>
      <c r="ES147" s="42">
        <f t="shared" si="394"/>
        <v>3733.75</v>
      </c>
      <c r="ET147" s="42">
        <f t="shared" si="395"/>
        <v>6122.9807692307695</v>
      </c>
      <c r="EU147" s="42">
        <f t="shared" si="377"/>
        <v>78409</v>
      </c>
      <c r="EV147" s="42">
        <f t="shared" si="378"/>
        <v>119040</v>
      </c>
      <c r="EW147" s="42">
        <f>IF(DM147="","",IF(DS147&gt;0,DS147,EQ147-SUM($ES$6:ES147)+SUM($DS$6:DS147)))</f>
        <v>369641.25</v>
      </c>
      <c r="EX147" s="42">
        <f>IF(DM147="","",IF(DT147&gt;0,DT147,ER147-SUM($ET$6:ET147)+SUM($DT$6:DT147)))</f>
        <v>129059.71153846313</v>
      </c>
      <c r="EY147" s="43">
        <f t="shared" si="379"/>
        <v>0.52019230769231417</v>
      </c>
      <c r="EZ147" s="43">
        <f t="shared" si="380"/>
        <v>0.82499999999999996</v>
      </c>
      <c r="FA147" s="43"/>
      <c r="FB147" s="42">
        <f t="shared" si="381"/>
        <v>4935000</v>
      </c>
      <c r="FC147" s="42">
        <f t="shared" si="382"/>
        <v>5182000</v>
      </c>
      <c r="FD147" s="41">
        <f t="shared" si="396"/>
        <v>89960.9375</v>
      </c>
      <c r="FE147" s="41">
        <f t="shared" si="397"/>
        <v>32914.583333333336</v>
      </c>
      <c r="FF147" s="42">
        <f t="shared" si="383"/>
        <v>-59729</v>
      </c>
      <c r="FG147" s="42">
        <f t="shared" si="384"/>
        <v>1844376</v>
      </c>
      <c r="FH147" s="42">
        <f>IF(DM147="","",IF(DU147&gt;0,DU147,FB147-SUM($FD$6:FD147)+SUM($DU$6:DU147)))</f>
        <v>4994729.1666666642</v>
      </c>
      <c r="FI147" s="42">
        <f>IF(DM147="","",FC147-SUM($FE$6:FE147)+SUM($DV$6:DV147)-SUM($DW$6:DW147))</f>
        <v>3337623.7499999963</v>
      </c>
      <c r="FJ147" s="152">
        <f t="shared" si="385"/>
        <v>0.82359918124608678</v>
      </c>
      <c r="FN147" s="8"/>
      <c r="FO147" s="8"/>
      <c r="FP147" s="8"/>
      <c r="FQ147" s="8"/>
      <c r="FR147" s="8"/>
      <c r="FS147" s="8"/>
      <c r="FT147" s="8"/>
      <c r="FU147" s="8"/>
      <c r="GC147" s="68">
        <f t="shared" si="349"/>
        <v>142</v>
      </c>
      <c r="GD147" s="78">
        <f t="shared" si="350"/>
        <v>0</v>
      </c>
      <c r="GE147" s="309">
        <f t="shared" si="351"/>
        <v>0.69152934758017059</v>
      </c>
      <c r="GF147" s="78">
        <f t="shared" si="352"/>
        <v>0</v>
      </c>
      <c r="GG147" s="310">
        <f t="shared" si="353"/>
        <v>3.2907896194936934E-2</v>
      </c>
      <c r="GH147" s="78">
        <f t="shared" si="354"/>
        <v>0</v>
      </c>
      <c r="GI147" s="310">
        <f t="shared" si="355"/>
        <v>0.81666666666666665</v>
      </c>
      <c r="GJ147" s="311">
        <f t="shared" si="356"/>
        <v>0</v>
      </c>
      <c r="GK147" s="310">
        <f t="shared" si="357"/>
        <v>0.49551282051282702</v>
      </c>
      <c r="GL147" s="311">
        <f t="shared" si="358"/>
        <v>0</v>
      </c>
      <c r="GM147" s="310">
        <f t="shared" si="359"/>
        <v>0.81145373093143491</v>
      </c>
      <c r="HD147" s="13"/>
      <c r="HE147" s="24"/>
      <c r="HF147" s="13"/>
      <c r="HG147" s="14"/>
      <c r="HH147" s="13"/>
      <c r="HI147" s="13"/>
      <c r="HJ147" s="13"/>
      <c r="HK147" s="13"/>
      <c r="HL147" s="13"/>
      <c r="HM147" s="14"/>
      <c r="HN147" s="13"/>
      <c r="HO147" s="13"/>
    </row>
    <row r="148" spans="3:223" x14ac:dyDescent="0.2">
      <c r="C148" s="426">
        <f t="shared" si="346"/>
        <v>43709</v>
      </c>
      <c r="D148" s="155">
        <f t="shared" si="347"/>
        <v>80</v>
      </c>
      <c r="E148" s="155">
        <f t="shared" si="345"/>
        <v>12389583.5</v>
      </c>
      <c r="F148" s="155"/>
      <c r="G148" s="438">
        <f t="shared" si="348"/>
        <v>125767.61271367522</v>
      </c>
      <c r="I148" s="444">
        <f>IF(D148="","",'Mx FORECAST'!DX86)</f>
        <v>8236715.5170940235</v>
      </c>
      <c r="J148" s="155">
        <f>IF(D148="","",'Mx FORECAST'!DP86)</f>
        <v>0</v>
      </c>
      <c r="K148" s="155">
        <f>IF(D148="","",'Mx FORECAST'!DQ86)</f>
        <v>0</v>
      </c>
      <c r="M148" s="155">
        <f>IF(D148="","",'Mx FORECAST'!DR86)</f>
        <v>0</v>
      </c>
      <c r="O148" s="155">
        <f>IF(D148="","",'Mx FORECAST'!DS86)</f>
        <v>0</v>
      </c>
      <c r="Q148" s="155">
        <f>IF(D148="","",'Mx FORECAST'!DT86)</f>
        <v>0</v>
      </c>
      <c r="S148" s="155">
        <f>IF(D148="","",'Mx FORECAST'!DU86)</f>
        <v>0</v>
      </c>
      <c r="U148" s="155">
        <f>IF(D148="","",'Mx FORECAST'!DV86)</f>
        <v>0</v>
      </c>
      <c r="W148" s="540">
        <f>IF(D148="","",'Mx FORECAST'!DY86)</f>
        <v>4152867.9829059765</v>
      </c>
      <c r="X148" s="540"/>
      <c r="Y148" s="437">
        <f>IF(D148="","",'Mx FORECAST'!DZ86)</f>
        <v>0.33519028165119324</v>
      </c>
      <c r="AD148" s="155"/>
      <c r="AF148" s="155"/>
      <c r="AH148" s="155"/>
      <c r="AJ148" s="155"/>
      <c r="AK148" s="8"/>
      <c r="AL148" s="8"/>
      <c r="AM148" s="8"/>
      <c r="AN148" s="8"/>
      <c r="AO148" s="8"/>
      <c r="AP148" s="8"/>
      <c r="AQ148" s="8"/>
      <c r="AR148" s="8"/>
      <c r="AS148" s="8"/>
      <c r="AT148" s="8"/>
      <c r="AU148" s="8"/>
      <c r="AV148" s="8"/>
      <c r="AW148" s="8"/>
      <c r="AX148" s="8"/>
      <c r="AY148" s="8"/>
      <c r="AZ148" s="8"/>
      <c r="BZ148" s="9"/>
      <c r="CA148" s="9"/>
      <c r="CB148" s="9"/>
      <c r="DM148" s="44">
        <f t="shared" si="386"/>
        <v>142</v>
      </c>
      <c r="DN148" s="41">
        <f t="shared" si="360"/>
        <v>12666583.5</v>
      </c>
      <c r="DO148" s="41">
        <f t="shared" si="387"/>
        <v>163228.55021367522</v>
      </c>
      <c r="DP148" s="42">
        <f t="shared" si="361"/>
        <v>0</v>
      </c>
      <c r="DQ148" s="42">
        <f t="shared" si="362"/>
        <v>0</v>
      </c>
      <c r="DR148" s="42">
        <f t="shared" si="363"/>
        <v>0</v>
      </c>
      <c r="DS148" s="42">
        <f t="shared" si="364"/>
        <v>0</v>
      </c>
      <c r="DT148" s="42">
        <f t="shared" si="365"/>
        <v>0</v>
      </c>
      <c r="DU148" s="42">
        <f t="shared" si="366"/>
        <v>0</v>
      </c>
      <c r="DV148" s="42">
        <f t="shared" si="367"/>
        <v>0</v>
      </c>
      <c r="DW148" s="42">
        <f t="shared" si="368"/>
        <v>0</v>
      </c>
      <c r="DX148" s="42">
        <f t="shared" si="369"/>
        <v>3907269.2761752456</v>
      </c>
      <c r="DY148" s="42">
        <f>IF(DM148="",DY147,DN148-SUM($DO$6:DO148)+SUM($DP$6:DV148)-SUM($DW$6:DW148))</f>
        <v>8759314.2238247544</v>
      </c>
      <c r="DZ148" s="43">
        <f t="shared" si="388"/>
        <v>0.69152934758017059</v>
      </c>
      <c r="EA148" s="43"/>
      <c r="EB148" s="43" t="str">
        <f t="shared" si="398"/>
        <v>False</v>
      </c>
      <c r="EC148" s="41">
        <f t="shared" si="389"/>
        <v>264480</v>
      </c>
      <c r="ED148" s="41">
        <f t="shared" si="390"/>
        <v>686673.49999999988</v>
      </c>
      <c r="EE148" s="41">
        <f t="shared" si="370"/>
        <v>902280</v>
      </c>
      <c r="EF148" s="41">
        <f t="shared" si="391"/>
        <v>14693.333333333334</v>
      </c>
      <c r="EG148" s="42">
        <f t="shared" si="392"/>
        <v>9537.1319444444434</v>
      </c>
      <c r="EH148" s="42">
        <f t="shared" si="393"/>
        <v>6265.8333333333321</v>
      </c>
      <c r="EI148" s="42">
        <f t="shared" si="371"/>
        <v>235093</v>
      </c>
      <c r="EJ148" s="42">
        <f t="shared" si="372"/>
        <v>667599</v>
      </c>
      <c r="EK148" s="42">
        <f t="shared" si="373"/>
        <v>889748</v>
      </c>
      <c r="EL148" s="42">
        <f>IF(DM148="","",EC148-SUM($EF$6:EF148)+SUM($DP$6:DP148))</f>
        <v>29386.666666668374</v>
      </c>
      <c r="EM148" s="42">
        <f>IF(DM148="","",ED148-SUM($EG$6:EG148)+SUM($DQ$6:DQ148))</f>
        <v>19074.263888885151</v>
      </c>
      <c r="EN148" s="42">
        <f>IF(DM148="","",EE148-SUM($EH$6:EH148)+SUM($DR$6:DR148))</f>
        <v>12531.666666665114</v>
      </c>
      <c r="EO148" s="152">
        <f t="shared" si="374"/>
        <v>3.2907896194936934E-2</v>
      </c>
      <c r="EP148" s="43"/>
      <c r="EQ148" s="42">
        <f t="shared" si="375"/>
        <v>448050</v>
      </c>
      <c r="ER148" s="42">
        <f t="shared" si="376"/>
        <v>248100</v>
      </c>
      <c r="ES148" s="42">
        <f t="shared" si="394"/>
        <v>3733.75</v>
      </c>
      <c r="ET148" s="42">
        <f t="shared" si="395"/>
        <v>6122.9807692307695</v>
      </c>
      <c r="EU148" s="42">
        <f t="shared" si="377"/>
        <v>82143</v>
      </c>
      <c r="EV148" s="42">
        <f t="shared" si="378"/>
        <v>125163</v>
      </c>
      <c r="EW148" s="42">
        <f>IF(DM148="","",IF(DS148&gt;0,DS148,EQ148-SUM($ES$6:ES148)+SUM($DS$6:DS148)))</f>
        <v>365907.5</v>
      </c>
      <c r="EX148" s="42">
        <f>IF(DM148="","",IF(DT148&gt;0,DT148,ER148-SUM($ET$6:ET148)+SUM($DT$6:DT148)))</f>
        <v>122936.73076923238</v>
      </c>
      <c r="EY148" s="43">
        <f t="shared" si="379"/>
        <v>0.49551282051282702</v>
      </c>
      <c r="EZ148" s="43">
        <f t="shared" si="380"/>
        <v>0.81666666666666665</v>
      </c>
      <c r="FA148" s="43"/>
      <c r="FB148" s="42">
        <f t="shared" si="381"/>
        <v>4935000</v>
      </c>
      <c r="FC148" s="42">
        <f t="shared" si="382"/>
        <v>5182000</v>
      </c>
      <c r="FD148" s="41">
        <f t="shared" si="396"/>
        <v>89960.9375</v>
      </c>
      <c r="FE148" s="41">
        <f t="shared" si="397"/>
        <v>32914.583333333336</v>
      </c>
      <c r="FF148" s="42">
        <f t="shared" si="383"/>
        <v>30232</v>
      </c>
      <c r="FG148" s="42">
        <f t="shared" si="384"/>
        <v>1877291</v>
      </c>
      <c r="FH148" s="42">
        <f>IF(DM148="","",IF(DU148&gt;0,DU148,FB148-SUM($FD$6:FD148)+SUM($DU$6:DU148)))</f>
        <v>4904768.2291666642</v>
      </c>
      <c r="FI148" s="42">
        <f>IF(DM148="","",FC148-SUM($FE$6:FE148)+SUM($DV$6:DV148)-SUM($DW$6:DW148))</f>
        <v>3304709.1666666633</v>
      </c>
      <c r="FJ148" s="152">
        <f t="shared" si="385"/>
        <v>0.81145373093143491</v>
      </c>
      <c r="FN148" s="8"/>
      <c r="FO148" s="8"/>
      <c r="FP148" s="8"/>
      <c r="FQ148" s="8"/>
      <c r="FR148" s="8"/>
      <c r="FS148" s="8"/>
      <c r="FT148" s="8"/>
      <c r="FU148" s="8"/>
      <c r="GC148" s="68">
        <f t="shared" si="349"/>
        <v>143</v>
      </c>
      <c r="GD148" s="78">
        <f t="shared" si="350"/>
        <v>0</v>
      </c>
      <c r="GE148" s="309">
        <f t="shared" si="351"/>
        <v>0.6786427984792488</v>
      </c>
      <c r="GF148" s="78">
        <f t="shared" si="352"/>
        <v>0</v>
      </c>
      <c r="GG148" s="310">
        <f t="shared" si="353"/>
        <v>1.6453948097467492E-2</v>
      </c>
      <c r="GH148" s="78">
        <f t="shared" si="354"/>
        <v>0</v>
      </c>
      <c r="GI148" s="310">
        <f t="shared" si="355"/>
        <v>0.80833333333333335</v>
      </c>
      <c r="GJ148" s="311">
        <f t="shared" si="356"/>
        <v>0</v>
      </c>
      <c r="GK148" s="310">
        <f t="shared" si="357"/>
        <v>0.47083333333333988</v>
      </c>
      <c r="GL148" s="311">
        <f t="shared" si="358"/>
        <v>0</v>
      </c>
      <c r="GM148" s="310">
        <f t="shared" si="359"/>
        <v>0.79930828061678305</v>
      </c>
      <c r="HD148" s="13"/>
      <c r="HE148" s="24"/>
      <c r="HF148" s="13"/>
      <c r="HG148" s="14"/>
      <c r="HH148" s="13"/>
      <c r="HI148" s="13"/>
      <c r="HJ148" s="13"/>
      <c r="HK148" s="13"/>
      <c r="HL148" s="13"/>
      <c r="HM148" s="14"/>
      <c r="HN148" s="13"/>
      <c r="HO148" s="13"/>
    </row>
    <row r="149" spans="3:223" x14ac:dyDescent="0.2">
      <c r="C149" s="426">
        <f t="shared" si="346"/>
        <v>43739</v>
      </c>
      <c r="D149" s="155">
        <f t="shared" si="347"/>
        <v>81</v>
      </c>
      <c r="E149" s="155">
        <f t="shared" si="345"/>
        <v>12389583.5</v>
      </c>
      <c r="F149" s="155"/>
      <c r="G149" s="438">
        <f t="shared" si="348"/>
        <v>125767.61271367522</v>
      </c>
      <c r="I149" s="444">
        <f>IF(D149="","",'Mx FORECAST'!DX87)</f>
        <v>8362483.1298076995</v>
      </c>
      <c r="J149" s="155">
        <f>IF(D149="","",'Mx FORECAST'!DP87)</f>
        <v>0</v>
      </c>
      <c r="K149" s="155">
        <f>IF(D149="","",'Mx FORECAST'!DQ87)</f>
        <v>0</v>
      </c>
      <c r="M149" s="155">
        <f>IF(D149="","",'Mx FORECAST'!DR87)</f>
        <v>0</v>
      </c>
      <c r="O149" s="155">
        <f>IF(D149="","",'Mx FORECAST'!DS87)</f>
        <v>0</v>
      </c>
      <c r="Q149" s="155">
        <f>IF(D149="","",'Mx FORECAST'!DT87)</f>
        <v>0</v>
      </c>
      <c r="S149" s="155">
        <f>IF(D149="","",'Mx FORECAST'!DU87)</f>
        <v>0</v>
      </c>
      <c r="U149" s="155">
        <f>IF(D149="","",'Mx FORECAST'!DV87)</f>
        <v>0</v>
      </c>
      <c r="W149" s="540">
        <f>IF(D149="","",'Mx FORECAST'!DY87)</f>
        <v>4027100.3701923005</v>
      </c>
      <c r="X149" s="540"/>
      <c r="Y149" s="437">
        <f>IF(D149="","",'Mx FORECAST'!DZ87)</f>
        <v>0.32503920492503241</v>
      </c>
      <c r="AD149" s="155"/>
      <c r="AF149" s="155"/>
      <c r="AH149" s="155"/>
      <c r="AJ149" s="155"/>
      <c r="AK149" s="8"/>
      <c r="AL149" s="8"/>
      <c r="AM149" s="8"/>
      <c r="AN149" s="8"/>
      <c r="AO149" s="8"/>
      <c r="AP149" s="8"/>
      <c r="AQ149" s="8"/>
      <c r="AR149" s="8"/>
      <c r="AS149" s="8"/>
      <c r="AT149" s="8"/>
      <c r="AU149" s="8"/>
      <c r="AV149" s="8"/>
      <c r="AW149" s="8"/>
      <c r="AX149" s="8"/>
      <c r="AY149" s="8"/>
      <c r="AZ149" s="8"/>
      <c r="BZ149" s="9"/>
      <c r="CA149" s="9"/>
      <c r="CB149" s="9"/>
      <c r="DM149" s="44">
        <f t="shared" si="386"/>
        <v>143</v>
      </c>
      <c r="DN149" s="41">
        <f t="shared" si="360"/>
        <v>12666583.5</v>
      </c>
      <c r="DO149" s="41">
        <f t="shared" si="387"/>
        <v>163228.55021367522</v>
      </c>
      <c r="DP149" s="42">
        <f t="shared" si="361"/>
        <v>0</v>
      </c>
      <c r="DQ149" s="42">
        <f t="shared" si="362"/>
        <v>0</v>
      </c>
      <c r="DR149" s="42">
        <f t="shared" si="363"/>
        <v>0</v>
      </c>
      <c r="DS149" s="42">
        <f t="shared" si="364"/>
        <v>0</v>
      </c>
      <c r="DT149" s="42">
        <f t="shared" si="365"/>
        <v>0</v>
      </c>
      <c r="DU149" s="42">
        <f t="shared" si="366"/>
        <v>0</v>
      </c>
      <c r="DV149" s="42">
        <f t="shared" si="367"/>
        <v>0</v>
      </c>
      <c r="DW149" s="42">
        <f t="shared" si="368"/>
        <v>0</v>
      </c>
      <c r="DX149" s="42">
        <f t="shared" si="369"/>
        <v>4070497.8263889216</v>
      </c>
      <c r="DY149" s="42">
        <f>IF(DM149="",DY148,DN149-SUM($DO$6:DO149)+SUM($DP$6:DV149)-SUM($DW$6:DW149))</f>
        <v>8596085.6736110784</v>
      </c>
      <c r="DZ149" s="43">
        <f t="shared" si="388"/>
        <v>0.6786427984792488</v>
      </c>
      <c r="EA149" s="43"/>
      <c r="EB149" s="43" t="str">
        <f t="shared" si="398"/>
        <v>False</v>
      </c>
      <c r="EC149" s="41">
        <f t="shared" si="389"/>
        <v>264480</v>
      </c>
      <c r="ED149" s="41">
        <f t="shared" si="390"/>
        <v>686673.49999999988</v>
      </c>
      <c r="EE149" s="41">
        <f t="shared" si="370"/>
        <v>902280</v>
      </c>
      <c r="EF149" s="41">
        <f t="shared" si="391"/>
        <v>14693.333333333334</v>
      </c>
      <c r="EG149" s="42">
        <f t="shared" si="392"/>
        <v>9537.1319444444434</v>
      </c>
      <c r="EH149" s="42">
        <f t="shared" si="393"/>
        <v>6265.8333333333321</v>
      </c>
      <c r="EI149" s="42">
        <f t="shared" si="371"/>
        <v>249787</v>
      </c>
      <c r="EJ149" s="42">
        <f t="shared" si="372"/>
        <v>677136</v>
      </c>
      <c r="EK149" s="42">
        <f t="shared" si="373"/>
        <v>896014</v>
      </c>
      <c r="EL149" s="42">
        <f>IF(DM149="","",EC149-SUM($EF$6:EF149)+SUM($DP$6:DP149))</f>
        <v>14693.333333335118</v>
      </c>
      <c r="EM149" s="42">
        <f>IF(DM149="","",ED149-SUM($EG$6:EG149)+SUM($DQ$6:DQ149))</f>
        <v>9537.1319444406545</v>
      </c>
      <c r="EN149" s="42">
        <f>IF(DM149="","",EE149-SUM($EH$6:EH149)+SUM($DR$6:DR149))</f>
        <v>6265.8333333317423</v>
      </c>
      <c r="EO149" s="152">
        <f t="shared" si="374"/>
        <v>1.6453948097467492E-2</v>
      </c>
      <c r="EP149" s="43"/>
      <c r="EQ149" s="42">
        <f t="shared" si="375"/>
        <v>448050</v>
      </c>
      <c r="ER149" s="42">
        <f t="shared" si="376"/>
        <v>248100</v>
      </c>
      <c r="ES149" s="42">
        <f t="shared" si="394"/>
        <v>3733.75</v>
      </c>
      <c r="ET149" s="42">
        <f t="shared" si="395"/>
        <v>6122.9807692307695</v>
      </c>
      <c r="EU149" s="42">
        <f t="shared" si="377"/>
        <v>85876</v>
      </c>
      <c r="EV149" s="42">
        <f t="shared" si="378"/>
        <v>131286</v>
      </c>
      <c r="EW149" s="42">
        <f>IF(DM149="","",IF(DS149&gt;0,DS149,EQ149-SUM($ES$6:ES149)+SUM($DS$6:DS149)))</f>
        <v>362173.75</v>
      </c>
      <c r="EX149" s="42">
        <f>IF(DM149="","",IF(DT149&gt;0,DT149,ER149-SUM($ET$6:ET149)+SUM($DT$6:DT149)))</f>
        <v>116813.75000000163</v>
      </c>
      <c r="EY149" s="43">
        <f t="shared" si="379"/>
        <v>0.47083333333333988</v>
      </c>
      <c r="EZ149" s="43">
        <f t="shared" si="380"/>
        <v>0.80833333333333335</v>
      </c>
      <c r="FA149" s="43"/>
      <c r="FB149" s="42">
        <f t="shared" si="381"/>
        <v>4935000</v>
      </c>
      <c r="FC149" s="42">
        <f t="shared" si="382"/>
        <v>5182000</v>
      </c>
      <c r="FD149" s="41">
        <f t="shared" si="396"/>
        <v>89960.9375</v>
      </c>
      <c r="FE149" s="41">
        <f t="shared" si="397"/>
        <v>32914.583333333336</v>
      </c>
      <c r="FF149" s="42">
        <f t="shared" si="383"/>
        <v>120193</v>
      </c>
      <c r="FG149" s="42">
        <f t="shared" si="384"/>
        <v>1910205</v>
      </c>
      <c r="FH149" s="42">
        <f>IF(DM149="","",IF(DU149&gt;0,DU149,FB149-SUM($FD$6:FD149)+SUM($DU$6:DU149)))</f>
        <v>4814807.2916666642</v>
      </c>
      <c r="FI149" s="42">
        <f>IF(DM149="","",FC149-SUM($FE$6:FE149)+SUM($DV$6:DV149)-SUM($DW$6:DW149))</f>
        <v>3271794.5833333302</v>
      </c>
      <c r="FJ149" s="152">
        <f t="shared" si="385"/>
        <v>0.79930828061678305</v>
      </c>
      <c r="FN149" s="8"/>
      <c r="FO149" s="8"/>
      <c r="FP149" s="8"/>
      <c r="FQ149" s="8"/>
      <c r="FR149" s="8"/>
      <c r="FS149" s="8"/>
      <c r="FT149" s="8"/>
      <c r="FU149" s="8"/>
      <c r="GC149" s="68">
        <f t="shared" si="349"/>
        <v>144</v>
      </c>
      <c r="GD149" s="78">
        <f t="shared" si="350"/>
        <v>1853433.5</v>
      </c>
      <c r="GE149" s="309">
        <f t="shared" si="351"/>
        <v>0.81208090748364803</v>
      </c>
      <c r="GF149" s="78">
        <f t="shared" si="352"/>
        <v>1853433.5</v>
      </c>
      <c r="GG149" s="310">
        <f t="shared" si="353"/>
        <v>0.999999999999998</v>
      </c>
      <c r="GH149" s="78">
        <f t="shared" si="354"/>
        <v>0</v>
      </c>
      <c r="GI149" s="310">
        <f t="shared" si="355"/>
        <v>0.8</v>
      </c>
      <c r="GJ149" s="311">
        <f t="shared" si="356"/>
        <v>0</v>
      </c>
      <c r="GK149" s="310">
        <f t="shared" si="357"/>
        <v>0.44615384615385278</v>
      </c>
      <c r="GL149" s="311">
        <f t="shared" si="358"/>
        <v>0</v>
      </c>
      <c r="GM149" s="310">
        <f t="shared" si="359"/>
        <v>0.78716283030213119</v>
      </c>
      <c r="HD149" s="13"/>
      <c r="HE149" s="24"/>
      <c r="HF149" s="13"/>
      <c r="HG149" s="14"/>
      <c r="HH149" s="13"/>
      <c r="HI149" s="13"/>
      <c r="HJ149" s="13"/>
      <c r="HK149" s="13"/>
      <c r="HL149" s="13"/>
      <c r="HM149" s="14"/>
      <c r="HN149" s="13"/>
      <c r="HO149" s="13"/>
    </row>
    <row r="150" spans="3:223" x14ac:dyDescent="0.2">
      <c r="C150" s="426">
        <f t="shared" si="346"/>
        <v>43770</v>
      </c>
      <c r="D150" s="155">
        <f t="shared" si="347"/>
        <v>82</v>
      </c>
      <c r="E150" s="155">
        <f t="shared" si="345"/>
        <v>12389583.5</v>
      </c>
      <c r="F150" s="155"/>
      <c r="G150" s="438">
        <f t="shared" si="348"/>
        <v>125767.61271367522</v>
      </c>
      <c r="I150" s="444">
        <f>IF(D150="","",'Mx FORECAST'!DX88)</f>
        <v>8240150.7425213754</v>
      </c>
      <c r="J150" s="155">
        <f>IF(D150="","",'Mx FORECAST'!DP88)</f>
        <v>0</v>
      </c>
      <c r="K150" s="155">
        <f>IF(D150="","",'Mx FORECAST'!DQ88)</f>
        <v>0</v>
      </c>
      <c r="M150" s="155">
        <f>IF(D150="","",'Mx FORECAST'!DR88)</f>
        <v>0</v>
      </c>
      <c r="O150" s="155">
        <f>IF(D150="","",'Mx FORECAST'!DS88)</f>
        <v>0</v>
      </c>
      <c r="Q150" s="155">
        <f>IF(D150="","",'Mx FORECAST'!DT88)</f>
        <v>248100</v>
      </c>
      <c r="S150" s="155">
        <f>IF(D150="","",'Mx FORECAST'!DU88)</f>
        <v>0</v>
      </c>
      <c r="U150" s="155">
        <f>IF(D150="","",'Mx FORECAST'!DV88)</f>
        <v>0</v>
      </c>
      <c r="W150" s="540">
        <f>IF(D150="","",'Mx FORECAST'!DY88)</f>
        <v>4149432.7574786246</v>
      </c>
      <c r="X150" s="540"/>
      <c r="Y150" s="437">
        <f>IF(D150="","",'Mx FORECAST'!DZ88)</f>
        <v>0.33491301442688726</v>
      </c>
      <c r="AD150" s="155"/>
      <c r="AF150" s="155"/>
      <c r="AH150" s="155"/>
      <c r="AJ150" s="155"/>
      <c r="AK150" s="8"/>
      <c r="AL150" s="8"/>
      <c r="AM150" s="8"/>
      <c r="AN150" s="8"/>
      <c r="AO150" s="8"/>
      <c r="AP150" s="8"/>
      <c r="AQ150" s="8"/>
      <c r="AR150" s="8"/>
      <c r="AS150" s="8"/>
      <c r="AT150" s="8"/>
      <c r="AU150" s="8"/>
      <c r="AV150" s="8"/>
      <c r="AW150" s="8"/>
      <c r="AX150" s="8"/>
      <c r="AY150" s="8"/>
      <c r="AZ150" s="8"/>
      <c r="BZ150" s="9"/>
      <c r="CA150" s="9"/>
      <c r="CB150" s="9"/>
      <c r="DM150" s="44">
        <f t="shared" si="386"/>
        <v>144</v>
      </c>
      <c r="DN150" s="41">
        <f t="shared" si="360"/>
        <v>12666583.5</v>
      </c>
      <c r="DO150" s="41">
        <f t="shared" si="387"/>
        <v>163228.55021367522</v>
      </c>
      <c r="DP150" s="42">
        <f t="shared" si="361"/>
        <v>264480</v>
      </c>
      <c r="DQ150" s="42">
        <f t="shared" si="362"/>
        <v>686673.49999999988</v>
      </c>
      <c r="DR150" s="42">
        <f t="shared" si="363"/>
        <v>902280</v>
      </c>
      <c r="DS150" s="42">
        <f t="shared" si="364"/>
        <v>0</v>
      </c>
      <c r="DT150" s="42">
        <f t="shared" si="365"/>
        <v>0</v>
      </c>
      <c r="DU150" s="42">
        <f t="shared" si="366"/>
        <v>0</v>
      </c>
      <c r="DV150" s="42">
        <f t="shared" si="367"/>
        <v>0</v>
      </c>
      <c r="DW150" s="42">
        <f t="shared" si="368"/>
        <v>0</v>
      </c>
      <c r="DX150" s="42">
        <f t="shared" si="369"/>
        <v>2380292.8766025975</v>
      </c>
      <c r="DY150" s="42">
        <f>IF(DM150="",DY149,DN150-SUM($DO$6:DO150)+SUM($DP$6:DV150)-SUM($DW$6:DW150))</f>
        <v>10286290.623397402</v>
      </c>
      <c r="DZ150" s="43">
        <f t="shared" si="388"/>
        <v>0.81208090748364803</v>
      </c>
      <c r="EA150" s="43"/>
      <c r="EB150" s="43" t="str">
        <f t="shared" si="398"/>
        <v>False</v>
      </c>
      <c r="EC150" s="41">
        <f t="shared" si="389"/>
        <v>264480</v>
      </c>
      <c r="ED150" s="41">
        <f t="shared" si="390"/>
        <v>686673.49999999988</v>
      </c>
      <c r="EE150" s="41">
        <f t="shared" si="370"/>
        <v>902280</v>
      </c>
      <c r="EF150" s="41">
        <f t="shared" si="391"/>
        <v>14693.333333333334</v>
      </c>
      <c r="EG150" s="42">
        <f t="shared" si="392"/>
        <v>9537.1319444444434</v>
      </c>
      <c r="EH150" s="42">
        <f t="shared" si="393"/>
        <v>6265.8333333333321</v>
      </c>
      <c r="EI150" s="42">
        <f t="shared" si="371"/>
        <v>0</v>
      </c>
      <c r="EJ150" s="42">
        <f t="shared" si="372"/>
        <v>0</v>
      </c>
      <c r="EK150" s="42">
        <f t="shared" si="373"/>
        <v>0</v>
      </c>
      <c r="EL150" s="42">
        <f>IF(DM150="","",EC150-SUM($EF$6:EF150)+SUM($DP$6:DP150))</f>
        <v>264480.00000000186</v>
      </c>
      <c r="EM150" s="42">
        <f>IF(DM150="","",ED150-SUM($EG$6:EG150)+SUM($DQ$6:DQ150))</f>
        <v>686673.49999999616</v>
      </c>
      <c r="EN150" s="42">
        <f>IF(DM150="","",EE150-SUM($EH$6:EH150)+SUM($DR$6:DR150))</f>
        <v>902279.99999999837</v>
      </c>
      <c r="EO150" s="152">
        <f t="shared" si="374"/>
        <v>0.999999999999998</v>
      </c>
      <c r="EP150" s="43"/>
      <c r="EQ150" s="42">
        <f t="shared" si="375"/>
        <v>448050</v>
      </c>
      <c r="ER150" s="42">
        <f t="shared" si="376"/>
        <v>248100</v>
      </c>
      <c r="ES150" s="42">
        <f t="shared" si="394"/>
        <v>3733.75</v>
      </c>
      <c r="ET150" s="42">
        <f t="shared" si="395"/>
        <v>6122.9807692307695</v>
      </c>
      <c r="EU150" s="42">
        <f t="shared" si="377"/>
        <v>89610</v>
      </c>
      <c r="EV150" s="42">
        <f t="shared" si="378"/>
        <v>137409</v>
      </c>
      <c r="EW150" s="42">
        <f>IF(DM150="","",IF(DS150&gt;0,DS150,EQ150-SUM($ES$6:ES150)+SUM($DS$6:DS150)))</f>
        <v>358440</v>
      </c>
      <c r="EX150" s="42">
        <f>IF(DM150="","",IF(DT150&gt;0,DT150,ER150-SUM($ET$6:ET150)+SUM($DT$6:DT150)))</f>
        <v>110690.76923077088</v>
      </c>
      <c r="EY150" s="43">
        <f t="shared" si="379"/>
        <v>0.44615384615385278</v>
      </c>
      <c r="EZ150" s="43">
        <f t="shared" si="380"/>
        <v>0.8</v>
      </c>
      <c r="FA150" s="43"/>
      <c r="FB150" s="42">
        <f t="shared" si="381"/>
        <v>4935000</v>
      </c>
      <c r="FC150" s="42">
        <f t="shared" si="382"/>
        <v>5182000</v>
      </c>
      <c r="FD150" s="41">
        <f t="shared" si="396"/>
        <v>89960.9375</v>
      </c>
      <c r="FE150" s="41">
        <f t="shared" si="397"/>
        <v>32914.583333333336</v>
      </c>
      <c r="FF150" s="42">
        <f t="shared" si="383"/>
        <v>210154</v>
      </c>
      <c r="FG150" s="42">
        <f t="shared" si="384"/>
        <v>1943120</v>
      </c>
      <c r="FH150" s="42">
        <f>IF(DM150="","",IF(DU150&gt;0,DU150,FB150-SUM($FD$6:FD150)+SUM($DU$6:DU150)))</f>
        <v>4724846.3541666642</v>
      </c>
      <c r="FI150" s="42">
        <f>IF(DM150="","",FC150-SUM($FE$6:FE150)+SUM($DV$6:DV150)-SUM($DW$6:DW150))</f>
        <v>3238879.9999999972</v>
      </c>
      <c r="FJ150" s="152">
        <f t="shared" si="385"/>
        <v>0.78716283030213119</v>
      </c>
      <c r="FN150" s="8"/>
      <c r="FO150" s="8"/>
      <c r="FP150" s="8"/>
      <c r="FQ150" s="8"/>
      <c r="FR150" s="8"/>
      <c r="FS150" s="8"/>
      <c r="FT150" s="8"/>
      <c r="FU150" s="8"/>
      <c r="GC150" s="68">
        <f t="shared" si="349"/>
        <v>145</v>
      </c>
      <c r="GD150" s="78">
        <f t="shared" si="350"/>
        <v>0</v>
      </c>
      <c r="GE150" s="309">
        <f t="shared" si="351"/>
        <v>0.80077250698031599</v>
      </c>
      <c r="GF150" s="78">
        <f t="shared" si="352"/>
        <v>0</v>
      </c>
      <c r="GG150" s="310">
        <f t="shared" si="353"/>
        <v>0.98505074659210501</v>
      </c>
      <c r="GH150" s="78">
        <f t="shared" si="354"/>
        <v>0</v>
      </c>
      <c r="GI150" s="310">
        <f t="shared" si="355"/>
        <v>0.79166666666666663</v>
      </c>
      <c r="GJ150" s="311">
        <f t="shared" si="356"/>
        <v>0</v>
      </c>
      <c r="GK150" s="310">
        <f t="shared" si="357"/>
        <v>0.42147435897436569</v>
      </c>
      <c r="GL150" s="311">
        <f t="shared" si="358"/>
        <v>0</v>
      </c>
      <c r="GM150" s="310">
        <f t="shared" si="359"/>
        <v>0.77501737998747933</v>
      </c>
      <c r="HD150" s="13"/>
      <c r="HE150" s="24"/>
      <c r="HF150" s="13"/>
      <c r="HG150" s="14"/>
      <c r="HH150" s="13"/>
      <c r="HI150" s="13"/>
      <c r="HJ150" s="13"/>
      <c r="HK150" s="13"/>
      <c r="HL150" s="13"/>
      <c r="HM150" s="14"/>
      <c r="HN150" s="13"/>
      <c r="HO150" s="13"/>
    </row>
    <row r="151" spans="3:223" x14ac:dyDescent="0.2">
      <c r="C151" s="426">
        <f t="shared" si="346"/>
        <v>43800</v>
      </c>
      <c r="D151" s="155">
        <f t="shared" si="347"/>
        <v>83</v>
      </c>
      <c r="E151" s="155">
        <f t="shared" si="345"/>
        <v>12389583.5</v>
      </c>
      <c r="F151" s="155"/>
      <c r="G151" s="438">
        <f t="shared" si="348"/>
        <v>125767.61271367522</v>
      </c>
      <c r="I151" s="444">
        <f>IF(D151="","",'Mx FORECAST'!DX89)</f>
        <v>8365918.3552350514</v>
      </c>
      <c r="J151" s="155">
        <f>IF(D151="","",'Mx FORECAST'!DP89)</f>
        <v>0</v>
      </c>
      <c r="K151" s="155">
        <f>IF(D151="","",'Mx FORECAST'!DQ89)</f>
        <v>0</v>
      </c>
      <c r="M151" s="155">
        <f>IF(D151="","",'Mx FORECAST'!DR89)</f>
        <v>0</v>
      </c>
      <c r="O151" s="155">
        <f>IF(D151="","",'Mx FORECAST'!DS89)</f>
        <v>0</v>
      </c>
      <c r="Q151" s="155">
        <f>IF(D151="","",'Mx FORECAST'!DT89)</f>
        <v>0</v>
      </c>
      <c r="S151" s="155">
        <f>IF(D151="","",'Mx FORECAST'!DU89)</f>
        <v>0</v>
      </c>
      <c r="U151" s="155">
        <f>IF(D151="","",'Mx FORECAST'!DV89)</f>
        <v>0</v>
      </c>
      <c r="W151" s="540">
        <f>IF(D151="","",'Mx FORECAST'!DY89)</f>
        <v>4023665.1447649486</v>
      </c>
      <c r="X151" s="540"/>
      <c r="Y151" s="437">
        <f>IF(D151="","",'Mx FORECAST'!DZ89)</f>
        <v>0.32476193770072648</v>
      </c>
      <c r="AD151" s="155"/>
      <c r="AF151" s="155"/>
      <c r="AH151" s="155"/>
      <c r="AJ151" s="155"/>
      <c r="AK151" s="8"/>
      <c r="AL151" s="8"/>
      <c r="AM151" s="8"/>
      <c r="AN151" s="8"/>
      <c r="AO151" s="8"/>
      <c r="AP151" s="8"/>
      <c r="AQ151" s="8"/>
      <c r="AR151" s="8"/>
      <c r="AS151" s="8"/>
      <c r="AT151" s="8"/>
      <c r="AU151" s="8"/>
      <c r="AV151" s="8"/>
      <c r="AW151" s="8"/>
      <c r="AX151" s="8"/>
      <c r="AY151" s="8"/>
      <c r="AZ151" s="8"/>
      <c r="BZ151" s="9"/>
      <c r="CA151" s="9"/>
      <c r="CB151" s="9"/>
      <c r="DM151" s="44">
        <f t="shared" si="386"/>
        <v>145</v>
      </c>
      <c r="DN151" s="41">
        <f t="shared" si="360"/>
        <v>12759925.5</v>
      </c>
      <c r="DO151" s="41">
        <f t="shared" si="387"/>
        <v>161835.09188034188</v>
      </c>
      <c r="DP151" s="42">
        <f t="shared" si="361"/>
        <v>0</v>
      </c>
      <c r="DQ151" s="42">
        <f t="shared" si="362"/>
        <v>0</v>
      </c>
      <c r="DR151" s="42">
        <f t="shared" si="363"/>
        <v>0</v>
      </c>
      <c r="DS151" s="42">
        <f t="shared" si="364"/>
        <v>0</v>
      </c>
      <c r="DT151" s="42">
        <f t="shared" si="365"/>
        <v>0</v>
      </c>
      <c r="DU151" s="42">
        <f t="shared" si="366"/>
        <v>0</v>
      </c>
      <c r="DV151" s="42">
        <f t="shared" si="367"/>
        <v>0</v>
      </c>
      <c r="DW151" s="42">
        <f t="shared" si="368"/>
        <v>0</v>
      </c>
      <c r="DX151" s="42">
        <f t="shared" si="369"/>
        <v>2542127.9684829377</v>
      </c>
      <c r="DY151" s="42">
        <f>IF(DM151="",DY150,DN151-SUM($DO$6:DO151)+SUM($DP$6:DV151)-SUM($DW$6:DW151))</f>
        <v>10217797.531517062</v>
      </c>
      <c r="DZ151" s="43">
        <f t="shared" si="388"/>
        <v>0.80077250698031599</v>
      </c>
      <c r="EA151" s="43"/>
      <c r="EB151" s="43" t="str">
        <f t="shared" si="398"/>
        <v>True</v>
      </c>
      <c r="EC151" s="41">
        <f t="shared" si="389"/>
        <v>222480</v>
      </c>
      <c r="ED151" s="41">
        <f t="shared" si="390"/>
        <v>686673.49999999988</v>
      </c>
      <c r="EE151" s="41">
        <f t="shared" si="370"/>
        <v>1037621.9999999999</v>
      </c>
      <c r="EF151" s="41">
        <f t="shared" si="391"/>
        <v>12360</v>
      </c>
      <c r="EG151" s="42">
        <f t="shared" si="392"/>
        <v>9537.1319444444434</v>
      </c>
      <c r="EH151" s="42">
        <f t="shared" si="393"/>
        <v>7205.7083333333321</v>
      </c>
      <c r="EI151" s="42">
        <f t="shared" si="371"/>
        <v>12360</v>
      </c>
      <c r="EJ151" s="42">
        <f t="shared" si="372"/>
        <v>9537</v>
      </c>
      <c r="EK151" s="42">
        <f t="shared" si="373"/>
        <v>7206</v>
      </c>
      <c r="EL151" s="42">
        <f>IF(DM151="","",EC151-SUM($EF$6:EF151)+SUM($DP$6:DP151))</f>
        <v>210120.00000000186</v>
      </c>
      <c r="EM151" s="42">
        <f>IF(DM151="","",ED151-SUM($EG$6:EG151)+SUM($DQ$6:DQ151))</f>
        <v>677136.36805555166</v>
      </c>
      <c r="EN151" s="42">
        <f>IF(DM151="","",EE151-SUM($EH$6:EH151)+SUM($DR$6:DR151))</f>
        <v>1030416.2916666649</v>
      </c>
      <c r="EO151" s="152">
        <f t="shared" si="374"/>
        <v>0.98505074659210501</v>
      </c>
      <c r="EP151" s="43"/>
      <c r="EQ151" s="42">
        <f t="shared" si="375"/>
        <v>448050</v>
      </c>
      <c r="ER151" s="42">
        <f t="shared" si="376"/>
        <v>248100</v>
      </c>
      <c r="ES151" s="42">
        <f t="shared" si="394"/>
        <v>3733.75</v>
      </c>
      <c r="ET151" s="42">
        <f t="shared" si="395"/>
        <v>6122.9807692307695</v>
      </c>
      <c r="EU151" s="42">
        <f t="shared" si="377"/>
        <v>93344</v>
      </c>
      <c r="EV151" s="42">
        <f t="shared" si="378"/>
        <v>143532</v>
      </c>
      <c r="EW151" s="42">
        <f>IF(DM151="","",IF(DS151&gt;0,DS151,EQ151-SUM($ES$6:ES151)+SUM($DS$6:DS151)))</f>
        <v>354706.25</v>
      </c>
      <c r="EX151" s="42">
        <f>IF(DM151="","",IF(DT151&gt;0,DT151,ER151-SUM($ET$6:ET151)+SUM($DT$6:DT151)))</f>
        <v>104567.78846154013</v>
      </c>
      <c r="EY151" s="43">
        <f t="shared" si="379"/>
        <v>0.42147435897436569</v>
      </c>
      <c r="EZ151" s="43">
        <f t="shared" si="380"/>
        <v>0.79166666666666663</v>
      </c>
      <c r="FA151" s="43"/>
      <c r="FB151" s="42">
        <f t="shared" si="381"/>
        <v>4935000</v>
      </c>
      <c r="FC151" s="42">
        <f t="shared" si="382"/>
        <v>5182000</v>
      </c>
      <c r="FD151" s="41">
        <f t="shared" si="396"/>
        <v>89960.9375</v>
      </c>
      <c r="FE151" s="41">
        <f t="shared" si="397"/>
        <v>32914.583333333336</v>
      </c>
      <c r="FF151" s="42">
        <f t="shared" si="383"/>
        <v>300115</v>
      </c>
      <c r="FG151" s="42">
        <f t="shared" si="384"/>
        <v>1976035</v>
      </c>
      <c r="FH151" s="42">
        <f>IF(DM151="","",IF(DU151&gt;0,DU151,FB151-SUM($FD$6:FD151)+SUM($DU$6:DU151)))</f>
        <v>4634885.4166666642</v>
      </c>
      <c r="FI151" s="42">
        <f>IF(DM151="","",FC151-SUM($FE$6:FE151)+SUM($DV$6:DV151)-SUM($DW$6:DW151))</f>
        <v>3205965.4166666642</v>
      </c>
      <c r="FJ151" s="152">
        <f t="shared" si="385"/>
        <v>0.77501737998747933</v>
      </c>
      <c r="FN151" s="8"/>
      <c r="FO151" s="8"/>
      <c r="FP151" s="8"/>
      <c r="FQ151" s="8"/>
      <c r="FR151" s="8"/>
      <c r="FS151" s="8"/>
      <c r="FT151" s="8"/>
      <c r="FU151" s="8"/>
      <c r="GC151" s="68">
        <f t="shared" si="349"/>
        <v>146</v>
      </c>
      <c r="GD151" s="78">
        <f t="shared" si="350"/>
        <v>0</v>
      </c>
      <c r="GE151" s="309">
        <f t="shared" si="351"/>
        <v>0.7880894319983861</v>
      </c>
      <c r="GF151" s="78">
        <f t="shared" si="352"/>
        <v>0</v>
      </c>
      <c r="GG151" s="310">
        <f t="shared" si="353"/>
        <v>0.9701014931842119</v>
      </c>
      <c r="GH151" s="78">
        <f t="shared" si="354"/>
        <v>0</v>
      </c>
      <c r="GI151" s="310">
        <f t="shared" si="355"/>
        <v>0.78333333333333333</v>
      </c>
      <c r="GJ151" s="311">
        <f t="shared" si="356"/>
        <v>0</v>
      </c>
      <c r="GK151" s="310">
        <f t="shared" si="357"/>
        <v>0.3967948717948786</v>
      </c>
      <c r="GL151" s="311">
        <f t="shared" si="358"/>
        <v>0</v>
      </c>
      <c r="GM151" s="310">
        <f t="shared" si="359"/>
        <v>0.76287192967282746</v>
      </c>
      <c r="HD151" s="13"/>
      <c r="HE151" s="24"/>
      <c r="HF151" s="13"/>
      <c r="HG151" s="14"/>
      <c r="HH151" s="13"/>
      <c r="HI151" s="13"/>
      <c r="HJ151" s="13"/>
      <c r="HK151" s="13"/>
      <c r="HL151" s="13"/>
      <c r="HM151" s="14"/>
      <c r="HN151" s="13"/>
      <c r="HO151" s="13"/>
    </row>
    <row r="152" spans="3:223" x14ac:dyDescent="0.2">
      <c r="C152" s="426">
        <f t="shared" si="346"/>
        <v>43831</v>
      </c>
      <c r="D152" s="155">
        <f t="shared" si="347"/>
        <v>84</v>
      </c>
      <c r="E152" s="155">
        <f t="shared" si="345"/>
        <v>12389583.5</v>
      </c>
      <c r="F152" s="155"/>
      <c r="G152" s="438">
        <f t="shared" si="348"/>
        <v>125767.61271367522</v>
      </c>
      <c r="I152" s="444">
        <f>IF(D152="","",'Mx FORECAST'!DX90)</f>
        <v>8491685.9679487273</v>
      </c>
      <c r="J152" s="155">
        <f>IF(D152="","",'Mx FORECAST'!DP90)</f>
        <v>0</v>
      </c>
      <c r="K152" s="155">
        <f>IF(D152="","",'Mx FORECAST'!DQ90)</f>
        <v>0</v>
      </c>
      <c r="M152" s="155">
        <f>IF(D152="","",'Mx FORECAST'!DR90)</f>
        <v>0</v>
      </c>
      <c r="O152" s="155">
        <f>IF(D152="","",'Mx FORECAST'!DS90)</f>
        <v>0</v>
      </c>
      <c r="Q152" s="155">
        <f>IF(D152="","",'Mx FORECAST'!DT90)</f>
        <v>0</v>
      </c>
      <c r="S152" s="155">
        <f>IF(D152="","",'Mx FORECAST'!DU90)</f>
        <v>0</v>
      </c>
      <c r="U152" s="155">
        <f>IF(D152="","",'Mx FORECAST'!DV90)</f>
        <v>0</v>
      </c>
      <c r="W152" s="540">
        <f>IF(D152="","",'Mx FORECAST'!DY90)</f>
        <v>3897897.5320512727</v>
      </c>
      <c r="X152" s="540"/>
      <c r="Y152" s="437">
        <f>IF(D152="","",'Mx FORECAST'!DZ90)</f>
        <v>0.31461086097456564</v>
      </c>
      <c r="AD152" s="155"/>
      <c r="AF152" s="155"/>
      <c r="AH152" s="155"/>
      <c r="AJ152" s="155"/>
      <c r="AK152" s="8"/>
      <c r="AL152" s="8"/>
      <c r="AM152" s="8"/>
      <c r="AN152" s="8"/>
      <c r="AO152" s="8"/>
      <c r="AP152" s="8"/>
      <c r="AQ152" s="8"/>
      <c r="AR152" s="8"/>
      <c r="AS152" s="8"/>
      <c r="AT152" s="8"/>
      <c r="AU152" s="8"/>
      <c r="AV152" s="8"/>
      <c r="AW152" s="8"/>
      <c r="AX152" s="8"/>
      <c r="AY152" s="8"/>
      <c r="AZ152" s="8"/>
      <c r="BZ152" s="9"/>
      <c r="CA152" s="9"/>
      <c r="CB152" s="9"/>
      <c r="DM152" s="44">
        <f t="shared" si="386"/>
        <v>146</v>
      </c>
      <c r="DN152" s="41">
        <f t="shared" si="360"/>
        <v>12759925.5</v>
      </c>
      <c r="DO152" s="41">
        <f t="shared" si="387"/>
        <v>161835.09188034188</v>
      </c>
      <c r="DP152" s="42">
        <f t="shared" si="361"/>
        <v>0</v>
      </c>
      <c r="DQ152" s="42">
        <f t="shared" si="362"/>
        <v>0</v>
      </c>
      <c r="DR152" s="42">
        <f t="shared" si="363"/>
        <v>0</v>
      </c>
      <c r="DS152" s="42">
        <f t="shared" si="364"/>
        <v>0</v>
      </c>
      <c r="DT152" s="42">
        <f t="shared" si="365"/>
        <v>0</v>
      </c>
      <c r="DU152" s="42">
        <f t="shared" si="366"/>
        <v>0</v>
      </c>
      <c r="DV152" s="42">
        <f t="shared" si="367"/>
        <v>0</v>
      </c>
      <c r="DW152" s="42">
        <f t="shared" si="368"/>
        <v>0</v>
      </c>
      <c r="DX152" s="42">
        <f t="shared" si="369"/>
        <v>2703963.0603632778</v>
      </c>
      <c r="DY152" s="42">
        <f>IF(DM152="",DY151,DN152-SUM($DO$6:DO152)+SUM($DP$6:DV152)-SUM($DW$6:DW152))</f>
        <v>10055962.439636722</v>
      </c>
      <c r="DZ152" s="43">
        <f t="shared" si="388"/>
        <v>0.7880894319983861</v>
      </c>
      <c r="EA152" s="43"/>
      <c r="EB152" s="43" t="str">
        <f t="shared" si="398"/>
        <v>True</v>
      </c>
      <c r="EC152" s="41">
        <f t="shared" si="389"/>
        <v>222480</v>
      </c>
      <c r="ED152" s="41">
        <f t="shared" si="390"/>
        <v>686673.49999999988</v>
      </c>
      <c r="EE152" s="41">
        <f t="shared" si="370"/>
        <v>1037621.9999999999</v>
      </c>
      <c r="EF152" s="41">
        <f t="shared" si="391"/>
        <v>12360</v>
      </c>
      <c r="EG152" s="42">
        <f t="shared" si="392"/>
        <v>9537.1319444444434</v>
      </c>
      <c r="EH152" s="42">
        <f t="shared" si="393"/>
        <v>7205.7083333333321</v>
      </c>
      <c r="EI152" s="42">
        <f t="shared" si="371"/>
        <v>24720</v>
      </c>
      <c r="EJ152" s="42">
        <f t="shared" si="372"/>
        <v>19074</v>
      </c>
      <c r="EK152" s="42">
        <f t="shared" si="373"/>
        <v>14411</v>
      </c>
      <c r="EL152" s="42">
        <f>IF(DM152="","",EC152-SUM($EF$6:EF152)+SUM($DP$6:DP152))</f>
        <v>197760.00000000186</v>
      </c>
      <c r="EM152" s="42">
        <f>IF(DM152="","",ED152-SUM($EG$6:EG152)+SUM($DQ$6:DQ152))</f>
        <v>667599.23611110717</v>
      </c>
      <c r="EN152" s="42">
        <f>IF(DM152="","",EE152-SUM($EH$6:EH152)+SUM($DR$6:DR152))</f>
        <v>1023210.5833333315</v>
      </c>
      <c r="EO152" s="152">
        <f t="shared" si="374"/>
        <v>0.9701014931842119</v>
      </c>
      <c r="EP152" s="43"/>
      <c r="EQ152" s="42">
        <f t="shared" si="375"/>
        <v>448050</v>
      </c>
      <c r="ER152" s="42">
        <f t="shared" si="376"/>
        <v>248100</v>
      </c>
      <c r="ES152" s="42">
        <f t="shared" si="394"/>
        <v>3733.75</v>
      </c>
      <c r="ET152" s="42">
        <f t="shared" si="395"/>
        <v>6122.9807692307695</v>
      </c>
      <c r="EU152" s="42">
        <f t="shared" si="377"/>
        <v>97078</v>
      </c>
      <c r="EV152" s="42">
        <f t="shared" si="378"/>
        <v>149655</v>
      </c>
      <c r="EW152" s="42">
        <f>IF(DM152="","",IF(DS152&gt;0,DS152,EQ152-SUM($ES$6:ES152)+SUM($DS$6:DS152)))</f>
        <v>350972.5</v>
      </c>
      <c r="EX152" s="42">
        <f>IF(DM152="","",IF(DT152&gt;0,DT152,ER152-SUM($ET$6:ET152)+SUM($DT$6:DT152)))</f>
        <v>98444.807692309376</v>
      </c>
      <c r="EY152" s="43">
        <f t="shared" si="379"/>
        <v>0.3967948717948786</v>
      </c>
      <c r="EZ152" s="43">
        <f t="shared" si="380"/>
        <v>0.78333333333333333</v>
      </c>
      <c r="FA152" s="43"/>
      <c r="FB152" s="42">
        <f t="shared" si="381"/>
        <v>4935000</v>
      </c>
      <c r="FC152" s="42">
        <f t="shared" si="382"/>
        <v>5182000</v>
      </c>
      <c r="FD152" s="41">
        <f t="shared" si="396"/>
        <v>89960.9375</v>
      </c>
      <c r="FE152" s="41">
        <f t="shared" si="397"/>
        <v>32914.583333333336</v>
      </c>
      <c r="FF152" s="42">
        <f t="shared" si="383"/>
        <v>390076</v>
      </c>
      <c r="FG152" s="42">
        <f t="shared" si="384"/>
        <v>2008949</v>
      </c>
      <c r="FH152" s="42">
        <f>IF(DM152="","",IF(DU152&gt;0,DU152,FB152-SUM($FD$6:FD152)+SUM($DU$6:DU152)))</f>
        <v>4544924.4791666642</v>
      </c>
      <c r="FI152" s="42">
        <f>IF(DM152="","",FC152-SUM($FE$6:FE152)+SUM($DV$6:DV152)-SUM($DW$6:DW152))</f>
        <v>3173050.8333333312</v>
      </c>
      <c r="FJ152" s="152">
        <f t="shared" si="385"/>
        <v>0.76287192967282746</v>
      </c>
      <c r="FN152" s="8"/>
      <c r="FO152" s="8"/>
      <c r="FP152" s="8"/>
      <c r="FQ152" s="8"/>
      <c r="FR152" s="8"/>
      <c r="FS152" s="8"/>
      <c r="FT152" s="8"/>
      <c r="FU152" s="8"/>
      <c r="GC152" s="68">
        <f t="shared" si="349"/>
        <v>147</v>
      </c>
      <c r="GD152" s="78">
        <f t="shared" si="350"/>
        <v>0</v>
      </c>
      <c r="GE152" s="309">
        <f t="shared" si="351"/>
        <v>0.7754063570164561</v>
      </c>
      <c r="GF152" s="78">
        <f t="shared" si="352"/>
        <v>0</v>
      </c>
      <c r="GG152" s="310">
        <f t="shared" si="353"/>
        <v>0.9551522397763188</v>
      </c>
      <c r="GH152" s="78">
        <f t="shared" si="354"/>
        <v>0</v>
      </c>
      <c r="GI152" s="310">
        <f t="shared" si="355"/>
        <v>0.77500000000000002</v>
      </c>
      <c r="GJ152" s="311">
        <f t="shared" si="356"/>
        <v>0</v>
      </c>
      <c r="GK152" s="310">
        <f t="shared" si="357"/>
        <v>0.37211538461539145</v>
      </c>
      <c r="GL152" s="311">
        <f t="shared" si="358"/>
        <v>0</v>
      </c>
      <c r="GM152" s="310">
        <f t="shared" si="359"/>
        <v>0.7507264793581756</v>
      </c>
      <c r="HD152" s="13"/>
      <c r="HE152" s="24"/>
      <c r="HF152" s="13"/>
      <c r="HG152" s="14"/>
      <c r="HH152" s="13"/>
      <c r="HI152" s="13"/>
      <c r="HJ152" s="13"/>
      <c r="HK152" s="13"/>
      <c r="HL152" s="13"/>
      <c r="HM152" s="14"/>
      <c r="HN152" s="13"/>
      <c r="HO152" s="13"/>
    </row>
    <row r="153" spans="3:223" x14ac:dyDescent="0.2">
      <c r="C153" s="426">
        <f t="shared" si="346"/>
        <v>43862</v>
      </c>
      <c r="D153" s="155">
        <f t="shared" si="347"/>
        <v>85</v>
      </c>
      <c r="E153" s="155">
        <f t="shared" si="345"/>
        <v>12389583.5</v>
      </c>
      <c r="F153" s="155"/>
      <c r="G153" s="438">
        <f t="shared" si="348"/>
        <v>125767.61271367522</v>
      </c>
      <c r="I153" s="444">
        <f>IF(D153="","",'Mx FORECAST'!DX91)</f>
        <v>2288023.5806624033</v>
      </c>
      <c r="J153" s="155">
        <f>IF(D153="","",'Mx FORECAST'!DP91)</f>
        <v>0</v>
      </c>
      <c r="K153" s="155">
        <f>IF(D153="","",'Mx FORECAST'!DQ91)</f>
        <v>0</v>
      </c>
      <c r="M153" s="155">
        <f>IF(D153="","",'Mx FORECAST'!DR91)</f>
        <v>0</v>
      </c>
      <c r="O153" s="155">
        <f>IF(D153="","",'Mx FORECAST'!DS91)</f>
        <v>0</v>
      </c>
      <c r="Q153" s="155">
        <f>IF(D153="","",'Mx FORECAST'!DT91)</f>
        <v>0</v>
      </c>
      <c r="S153" s="155">
        <f>IF(D153="","",'Mx FORECAST'!DU91)</f>
        <v>4700000</v>
      </c>
      <c r="U153" s="155">
        <f>IF(D153="","",'Mx FORECAST'!DV91)</f>
        <v>2607280</v>
      </c>
      <c r="W153" s="540">
        <f>IF(D153="","",'Mx FORECAST'!DY91)</f>
        <v>10101559.919337597</v>
      </c>
      <c r="X153" s="540"/>
      <c r="Y153" s="437">
        <f>IF(D153="","",'Mx FORECAST'!DZ91)</f>
        <v>0.81532683639749448</v>
      </c>
      <c r="AD153" s="155"/>
      <c r="AF153" s="155"/>
      <c r="AH153" s="155"/>
      <c r="AJ153" s="155"/>
      <c r="AK153" s="8"/>
      <c r="AL153" s="8"/>
      <c r="AM153" s="8"/>
      <c r="AN153" s="8"/>
      <c r="AO153" s="8"/>
      <c r="AP153" s="8"/>
      <c r="AQ153" s="8"/>
      <c r="AR153" s="8"/>
      <c r="AS153" s="8"/>
      <c r="AT153" s="8"/>
      <c r="AU153" s="8"/>
      <c r="AV153" s="8"/>
      <c r="AW153" s="8"/>
      <c r="AX153" s="8"/>
      <c r="AY153" s="8"/>
      <c r="AZ153" s="8"/>
      <c r="BZ153" s="9"/>
      <c r="CA153" s="9"/>
      <c r="CB153" s="9"/>
      <c r="DM153" s="44">
        <f t="shared" si="386"/>
        <v>147</v>
      </c>
      <c r="DN153" s="41">
        <f t="shared" si="360"/>
        <v>12759925.5</v>
      </c>
      <c r="DO153" s="41">
        <f t="shared" si="387"/>
        <v>161835.09188034188</v>
      </c>
      <c r="DP153" s="42">
        <f t="shared" si="361"/>
        <v>0</v>
      </c>
      <c r="DQ153" s="42">
        <f t="shared" si="362"/>
        <v>0</v>
      </c>
      <c r="DR153" s="42">
        <f t="shared" si="363"/>
        <v>0</v>
      </c>
      <c r="DS153" s="42">
        <f t="shared" si="364"/>
        <v>0</v>
      </c>
      <c r="DT153" s="42">
        <f t="shared" si="365"/>
        <v>0</v>
      </c>
      <c r="DU153" s="42">
        <f t="shared" si="366"/>
        <v>0</v>
      </c>
      <c r="DV153" s="42">
        <f t="shared" si="367"/>
        <v>0</v>
      </c>
      <c r="DW153" s="42">
        <f t="shared" si="368"/>
        <v>0</v>
      </c>
      <c r="DX153" s="42">
        <f t="shared" si="369"/>
        <v>2865798.1522436179</v>
      </c>
      <c r="DY153" s="42">
        <f>IF(DM153="",DY152,DN153-SUM($DO$6:DO153)+SUM($DP$6:DV153)-SUM($DW$6:DW153))</f>
        <v>9894127.3477563821</v>
      </c>
      <c r="DZ153" s="43">
        <f t="shared" si="388"/>
        <v>0.7754063570164561</v>
      </c>
      <c r="EA153" s="43"/>
      <c r="EB153" s="43" t="str">
        <f t="shared" si="398"/>
        <v>True</v>
      </c>
      <c r="EC153" s="41">
        <f t="shared" si="389"/>
        <v>222480</v>
      </c>
      <c r="ED153" s="41">
        <f t="shared" si="390"/>
        <v>686673.49999999988</v>
      </c>
      <c r="EE153" s="41">
        <f t="shared" si="370"/>
        <v>1037621.9999999999</v>
      </c>
      <c r="EF153" s="41">
        <f t="shared" si="391"/>
        <v>12360</v>
      </c>
      <c r="EG153" s="42">
        <f t="shared" si="392"/>
        <v>9537.1319444444434</v>
      </c>
      <c r="EH153" s="42">
        <f t="shared" si="393"/>
        <v>7205.7083333333321</v>
      </c>
      <c r="EI153" s="42">
        <f t="shared" si="371"/>
        <v>37080</v>
      </c>
      <c r="EJ153" s="42">
        <f t="shared" si="372"/>
        <v>28611</v>
      </c>
      <c r="EK153" s="42">
        <f t="shared" si="373"/>
        <v>21617</v>
      </c>
      <c r="EL153" s="42">
        <f>IF(DM153="","",EC153-SUM($EF$6:EF153)+SUM($DP$6:DP153))</f>
        <v>185400.00000000186</v>
      </c>
      <c r="EM153" s="42">
        <f>IF(DM153="","",ED153-SUM($EG$6:EG153)+SUM($DQ$6:DQ153))</f>
        <v>658062.10416666267</v>
      </c>
      <c r="EN153" s="42">
        <f>IF(DM153="","",EE153-SUM($EH$6:EH153)+SUM($DR$6:DR153))</f>
        <v>1016004.8749999981</v>
      </c>
      <c r="EO153" s="152">
        <f t="shared" si="374"/>
        <v>0.9551522397763188</v>
      </c>
      <c r="EP153" s="43"/>
      <c r="EQ153" s="42">
        <f t="shared" si="375"/>
        <v>448050</v>
      </c>
      <c r="ER153" s="42">
        <f t="shared" si="376"/>
        <v>248100</v>
      </c>
      <c r="ES153" s="42">
        <f t="shared" si="394"/>
        <v>3733.75</v>
      </c>
      <c r="ET153" s="42">
        <f t="shared" si="395"/>
        <v>6122.9807692307695</v>
      </c>
      <c r="EU153" s="42">
        <f t="shared" si="377"/>
        <v>100811</v>
      </c>
      <c r="EV153" s="42">
        <f t="shared" si="378"/>
        <v>155778</v>
      </c>
      <c r="EW153" s="42">
        <f>IF(DM153="","",IF(DS153&gt;0,DS153,EQ153-SUM($ES$6:ES153)+SUM($DS$6:DS153)))</f>
        <v>347238.75</v>
      </c>
      <c r="EX153" s="42">
        <f>IF(DM153="","",IF(DT153&gt;0,DT153,ER153-SUM($ET$6:ET153)+SUM($DT$6:DT153)))</f>
        <v>92321.826923078625</v>
      </c>
      <c r="EY153" s="43">
        <f t="shared" si="379"/>
        <v>0.37211538461539145</v>
      </c>
      <c r="EZ153" s="43">
        <f t="shared" si="380"/>
        <v>0.77500000000000002</v>
      </c>
      <c r="FA153" s="43"/>
      <c r="FB153" s="42">
        <f t="shared" si="381"/>
        <v>4935000</v>
      </c>
      <c r="FC153" s="42">
        <f t="shared" si="382"/>
        <v>5182000</v>
      </c>
      <c r="FD153" s="41">
        <f t="shared" si="396"/>
        <v>89960.9375</v>
      </c>
      <c r="FE153" s="41">
        <f t="shared" si="397"/>
        <v>32914.583333333336</v>
      </c>
      <c r="FF153" s="42">
        <f t="shared" si="383"/>
        <v>480036</v>
      </c>
      <c r="FG153" s="42">
        <f t="shared" si="384"/>
        <v>2041864</v>
      </c>
      <c r="FH153" s="42">
        <f>IF(DM153="","",IF(DU153&gt;0,DU153,FB153-SUM($FD$6:FD153)+SUM($DU$6:DU153)))</f>
        <v>4454963.5416666642</v>
      </c>
      <c r="FI153" s="42">
        <f>IF(DM153="","",FC153-SUM($FE$6:FE153)+SUM($DV$6:DV153)-SUM($DW$6:DW153))</f>
        <v>3140136.2499999981</v>
      </c>
      <c r="FJ153" s="152">
        <f t="shared" si="385"/>
        <v>0.7507264793581756</v>
      </c>
      <c r="FN153" s="8"/>
      <c r="FO153" s="8"/>
      <c r="FP153" s="8"/>
      <c r="FQ153" s="8"/>
      <c r="FR153" s="8"/>
      <c r="FS153" s="8"/>
      <c r="FT153" s="8"/>
      <c r="FU153" s="8"/>
      <c r="GC153" s="68">
        <f t="shared" si="349"/>
        <v>148</v>
      </c>
      <c r="GD153" s="78">
        <f t="shared" si="350"/>
        <v>0</v>
      </c>
      <c r="GE153" s="309">
        <f t="shared" si="351"/>
        <v>0.76272328203452611</v>
      </c>
      <c r="GF153" s="78">
        <f t="shared" si="352"/>
        <v>0</v>
      </c>
      <c r="GG153" s="310">
        <f t="shared" si="353"/>
        <v>0.9402029863684257</v>
      </c>
      <c r="GH153" s="78">
        <f t="shared" si="354"/>
        <v>0</v>
      </c>
      <c r="GI153" s="310">
        <f t="shared" si="355"/>
        <v>0.76666666666666672</v>
      </c>
      <c r="GJ153" s="311">
        <f t="shared" si="356"/>
        <v>0</v>
      </c>
      <c r="GK153" s="310">
        <f t="shared" si="357"/>
        <v>0.34743589743590436</v>
      </c>
      <c r="GL153" s="311">
        <f t="shared" si="358"/>
        <v>0</v>
      </c>
      <c r="GM153" s="310">
        <f t="shared" si="359"/>
        <v>0.73858102904352374</v>
      </c>
      <c r="HD153" s="13"/>
      <c r="HE153" s="24"/>
      <c r="HF153" s="13"/>
      <c r="HG153" s="14"/>
      <c r="HH153" s="13"/>
      <c r="HI153" s="13"/>
      <c r="HJ153" s="13"/>
      <c r="HK153" s="13"/>
      <c r="HL153" s="13"/>
      <c r="HM153" s="14"/>
      <c r="HN153" s="13"/>
      <c r="HO153" s="13"/>
    </row>
    <row r="154" spans="3:223" x14ac:dyDescent="0.2">
      <c r="C154" s="426">
        <f t="shared" si="346"/>
        <v>43891</v>
      </c>
      <c r="D154" s="155">
        <f t="shared" si="347"/>
        <v>86</v>
      </c>
      <c r="E154" s="155">
        <f t="shared" si="345"/>
        <v>12624583.5</v>
      </c>
      <c r="F154" s="155"/>
      <c r="G154" s="438">
        <f t="shared" si="348"/>
        <v>160895.21688034188</v>
      </c>
      <c r="I154" s="444">
        <f>IF(D154="","",'Mx FORECAST'!DX92)</f>
        <v>2448918.7975427452</v>
      </c>
      <c r="J154" s="155">
        <f>IF(D154="","",'Mx FORECAST'!DP92)</f>
        <v>0</v>
      </c>
      <c r="K154" s="155">
        <f>IF(D154="","",'Mx FORECAST'!DQ92)</f>
        <v>0</v>
      </c>
      <c r="M154" s="155">
        <f>IF(D154="","",'Mx FORECAST'!DR92)</f>
        <v>0</v>
      </c>
      <c r="O154" s="155">
        <f>IF(D154="","",'Mx FORECAST'!DS92)</f>
        <v>0</v>
      </c>
      <c r="Q154" s="155">
        <f>IF(D154="","",'Mx FORECAST'!DT92)</f>
        <v>0</v>
      </c>
      <c r="S154" s="155">
        <f>IF(D154="","",'Mx FORECAST'!DU92)</f>
        <v>0</v>
      </c>
      <c r="U154" s="155">
        <f>IF(D154="","",'Mx FORECAST'!DV92)</f>
        <v>0</v>
      </c>
      <c r="W154" s="540">
        <f>IF(D154="","",'Mx FORECAST'!DY92)</f>
        <v>10175664.702457255</v>
      </c>
      <c r="X154" s="540"/>
      <c r="Y154" s="437">
        <f>IF(D154="","",'Mx FORECAST'!DZ92)</f>
        <v>0.80601983443313241</v>
      </c>
      <c r="AD154" s="155"/>
      <c r="AF154" s="155"/>
      <c r="AH154" s="155"/>
      <c r="AJ154" s="155"/>
      <c r="AK154" s="8"/>
      <c r="AL154" s="8"/>
      <c r="AM154" s="8"/>
      <c r="AN154" s="8"/>
      <c r="AO154" s="8"/>
      <c r="AP154" s="8"/>
      <c r="AQ154" s="8"/>
      <c r="AR154" s="8"/>
      <c r="AS154" s="8"/>
      <c r="AT154" s="8"/>
      <c r="AU154" s="8"/>
      <c r="AV154" s="8"/>
      <c r="AW154" s="8"/>
      <c r="AX154" s="8"/>
      <c r="AY154" s="8"/>
      <c r="AZ154" s="8"/>
      <c r="BZ154" s="9"/>
      <c r="CA154" s="9"/>
      <c r="CB154" s="9"/>
      <c r="DM154" s="44">
        <f t="shared" si="386"/>
        <v>148</v>
      </c>
      <c r="DN154" s="41">
        <f t="shared" si="360"/>
        <v>12759925.5</v>
      </c>
      <c r="DO154" s="41">
        <f t="shared" si="387"/>
        <v>161835.09188034188</v>
      </c>
      <c r="DP154" s="42">
        <f t="shared" si="361"/>
        <v>0</v>
      </c>
      <c r="DQ154" s="42">
        <f t="shared" si="362"/>
        <v>0</v>
      </c>
      <c r="DR154" s="42">
        <f t="shared" si="363"/>
        <v>0</v>
      </c>
      <c r="DS154" s="42">
        <f t="shared" si="364"/>
        <v>0</v>
      </c>
      <c r="DT154" s="42">
        <f t="shared" si="365"/>
        <v>0</v>
      </c>
      <c r="DU154" s="42">
        <f t="shared" si="366"/>
        <v>0</v>
      </c>
      <c r="DV154" s="42">
        <f t="shared" si="367"/>
        <v>0</v>
      </c>
      <c r="DW154" s="42">
        <f t="shared" si="368"/>
        <v>0</v>
      </c>
      <c r="DX154" s="42">
        <f t="shared" si="369"/>
        <v>3027633.2441239581</v>
      </c>
      <c r="DY154" s="42">
        <f>IF(DM154="",DY153,DN154-SUM($DO$6:DO154)+SUM($DP$6:DV154)-SUM($DW$6:DW154))</f>
        <v>9732292.2558760419</v>
      </c>
      <c r="DZ154" s="43">
        <f t="shared" si="388"/>
        <v>0.76272328203452611</v>
      </c>
      <c r="EA154" s="43"/>
      <c r="EB154" s="43" t="str">
        <f t="shared" si="398"/>
        <v>True</v>
      </c>
      <c r="EC154" s="41">
        <f t="shared" si="389"/>
        <v>222480</v>
      </c>
      <c r="ED154" s="41">
        <f t="shared" si="390"/>
        <v>686673.49999999988</v>
      </c>
      <c r="EE154" s="41">
        <f t="shared" si="370"/>
        <v>1037621.9999999999</v>
      </c>
      <c r="EF154" s="41">
        <f t="shared" si="391"/>
        <v>12360</v>
      </c>
      <c r="EG154" s="42">
        <f t="shared" si="392"/>
        <v>9537.1319444444434</v>
      </c>
      <c r="EH154" s="42">
        <f t="shared" si="393"/>
        <v>7205.7083333333321</v>
      </c>
      <c r="EI154" s="42">
        <f t="shared" si="371"/>
        <v>49440</v>
      </c>
      <c r="EJ154" s="42">
        <f t="shared" si="372"/>
        <v>38149</v>
      </c>
      <c r="EK154" s="42">
        <f t="shared" si="373"/>
        <v>28823</v>
      </c>
      <c r="EL154" s="42">
        <f>IF(DM154="","",EC154-SUM($EF$6:EF154)+SUM($DP$6:DP154))</f>
        <v>173040.00000000186</v>
      </c>
      <c r="EM154" s="42">
        <f>IF(DM154="","",ED154-SUM($EG$6:EG154)+SUM($DQ$6:DQ154))</f>
        <v>648524.97222221817</v>
      </c>
      <c r="EN154" s="42">
        <f>IF(DM154="","",EE154-SUM($EH$6:EH154)+SUM($DR$6:DR154))</f>
        <v>1008799.1666666648</v>
      </c>
      <c r="EO154" s="152">
        <f t="shared" si="374"/>
        <v>0.9402029863684257</v>
      </c>
      <c r="EP154" s="43"/>
      <c r="EQ154" s="42">
        <f t="shared" si="375"/>
        <v>448050</v>
      </c>
      <c r="ER154" s="42">
        <f t="shared" si="376"/>
        <v>248100</v>
      </c>
      <c r="ES154" s="42">
        <f t="shared" si="394"/>
        <v>3733.75</v>
      </c>
      <c r="ET154" s="42">
        <f t="shared" si="395"/>
        <v>6122.9807692307695</v>
      </c>
      <c r="EU154" s="42">
        <f t="shared" si="377"/>
        <v>104545</v>
      </c>
      <c r="EV154" s="42">
        <f t="shared" si="378"/>
        <v>161901</v>
      </c>
      <c r="EW154" s="42">
        <f>IF(DM154="","",IF(DS154&gt;0,DS154,EQ154-SUM($ES$6:ES154)+SUM($DS$6:DS154)))</f>
        <v>343505</v>
      </c>
      <c r="EX154" s="42">
        <f>IF(DM154="","",IF(DT154&gt;0,DT154,ER154-SUM($ET$6:ET154)+SUM($DT$6:DT154)))</f>
        <v>86198.846153847873</v>
      </c>
      <c r="EY154" s="43">
        <f t="shared" si="379"/>
        <v>0.34743589743590436</v>
      </c>
      <c r="EZ154" s="43">
        <f t="shared" si="380"/>
        <v>0.76666666666666672</v>
      </c>
      <c r="FA154" s="43"/>
      <c r="FB154" s="42">
        <f t="shared" si="381"/>
        <v>4935000</v>
      </c>
      <c r="FC154" s="42">
        <f t="shared" si="382"/>
        <v>5182000</v>
      </c>
      <c r="FD154" s="41">
        <f t="shared" si="396"/>
        <v>89960.9375</v>
      </c>
      <c r="FE154" s="41">
        <f t="shared" si="397"/>
        <v>32914.583333333336</v>
      </c>
      <c r="FF154" s="42">
        <f t="shared" si="383"/>
        <v>569997</v>
      </c>
      <c r="FG154" s="42">
        <f t="shared" si="384"/>
        <v>2074778</v>
      </c>
      <c r="FH154" s="42">
        <f>IF(DM154="","",IF(DU154&gt;0,DU154,FB154-SUM($FD$6:FD154)+SUM($DU$6:DU154)))</f>
        <v>4365002.6041666642</v>
      </c>
      <c r="FI154" s="42">
        <f>IF(DM154="","",FC154-SUM($FE$6:FE154)+SUM($DV$6:DV154)-SUM($DW$6:DW154))</f>
        <v>3107221.6666666651</v>
      </c>
      <c r="FJ154" s="152">
        <f t="shared" si="385"/>
        <v>0.73858102904352374</v>
      </c>
      <c r="FN154" s="8"/>
      <c r="FO154" s="8"/>
      <c r="FP154" s="8"/>
      <c r="FQ154" s="8"/>
      <c r="FR154" s="8"/>
      <c r="FS154" s="8"/>
      <c r="FT154" s="8"/>
      <c r="FU154" s="8"/>
      <c r="GC154" s="68">
        <f t="shared" si="349"/>
        <v>149</v>
      </c>
      <c r="GD154" s="78">
        <f t="shared" si="350"/>
        <v>0</v>
      </c>
      <c r="GE154" s="309">
        <f t="shared" si="351"/>
        <v>0.75004020705259622</v>
      </c>
      <c r="GF154" s="78">
        <f t="shared" si="352"/>
        <v>0</v>
      </c>
      <c r="GG154" s="310">
        <f t="shared" si="353"/>
        <v>0.92525373296053248</v>
      </c>
      <c r="GH154" s="78">
        <f t="shared" si="354"/>
        <v>0</v>
      </c>
      <c r="GI154" s="310">
        <f t="shared" si="355"/>
        <v>0.7583333333333333</v>
      </c>
      <c r="GJ154" s="311">
        <f t="shared" si="356"/>
        <v>0</v>
      </c>
      <c r="GK154" s="310">
        <f t="shared" si="357"/>
        <v>0.32275641025641727</v>
      </c>
      <c r="GL154" s="311">
        <f t="shared" si="358"/>
        <v>0</v>
      </c>
      <c r="GM154" s="310">
        <f t="shared" si="359"/>
        <v>0.72643557872887188</v>
      </c>
      <c r="HD154" s="13"/>
      <c r="HE154" s="24"/>
      <c r="HF154" s="13"/>
      <c r="HG154" s="14"/>
      <c r="HH154" s="13"/>
      <c r="HI154" s="13"/>
      <c r="HJ154" s="13"/>
      <c r="HK154" s="13"/>
      <c r="HL154" s="13"/>
      <c r="HM154" s="14"/>
      <c r="HN154" s="13"/>
      <c r="HO154" s="13"/>
    </row>
    <row r="155" spans="3:223" x14ac:dyDescent="0.2">
      <c r="C155" s="426">
        <f t="shared" si="346"/>
        <v>43922</v>
      </c>
      <c r="D155" s="155">
        <f t="shared" si="347"/>
        <v>87</v>
      </c>
      <c r="E155" s="155">
        <f t="shared" si="345"/>
        <v>12624583.5</v>
      </c>
      <c r="F155" s="155"/>
      <c r="G155" s="438">
        <f t="shared" si="348"/>
        <v>160895.21688034188</v>
      </c>
      <c r="I155" s="444">
        <f>IF(D155="","",'Mx FORECAST'!DX93)</f>
        <v>2609814.0144230872</v>
      </c>
      <c r="J155" s="155">
        <f>IF(D155="","",'Mx FORECAST'!DP93)</f>
        <v>0</v>
      </c>
      <c r="K155" s="155">
        <f>IF(D155="","",'Mx FORECAST'!DQ93)</f>
        <v>0</v>
      </c>
      <c r="M155" s="155">
        <f>IF(D155="","",'Mx FORECAST'!DR93)</f>
        <v>0</v>
      </c>
      <c r="O155" s="155">
        <f>IF(D155="","",'Mx FORECAST'!DS93)</f>
        <v>0</v>
      </c>
      <c r="Q155" s="155">
        <f>IF(D155="","",'Mx FORECAST'!DT93)</f>
        <v>0</v>
      </c>
      <c r="S155" s="155">
        <f>IF(D155="","",'Mx FORECAST'!DU93)</f>
        <v>0</v>
      </c>
      <c r="U155" s="155">
        <f>IF(D155="","",'Mx FORECAST'!DV93)</f>
        <v>0</v>
      </c>
      <c r="W155" s="540">
        <f>IF(D155="","",'Mx FORECAST'!DY93)</f>
        <v>10014769.485576913</v>
      </c>
      <c r="X155" s="540"/>
      <c r="Y155" s="437">
        <f>IF(D155="","",'Mx FORECAST'!DZ93)</f>
        <v>0.79327523839316461</v>
      </c>
      <c r="AD155" s="155"/>
      <c r="AF155" s="155"/>
      <c r="AH155" s="155"/>
      <c r="AJ155" s="155"/>
      <c r="AK155" s="8"/>
      <c r="AL155" s="8"/>
      <c r="AM155" s="8"/>
      <c r="AN155" s="8"/>
      <c r="AO155" s="8"/>
      <c r="AP155" s="8"/>
      <c r="AQ155" s="8"/>
      <c r="AR155" s="8"/>
      <c r="AS155" s="8"/>
      <c r="AT155" s="8"/>
      <c r="AU155" s="8"/>
      <c r="AV155" s="8"/>
      <c r="AW155" s="8"/>
      <c r="AX155" s="8"/>
      <c r="AY155" s="8"/>
      <c r="AZ155" s="8"/>
      <c r="BZ155" s="9"/>
      <c r="CA155" s="9"/>
      <c r="CB155" s="9"/>
      <c r="DM155" s="44">
        <f t="shared" si="386"/>
        <v>149</v>
      </c>
      <c r="DN155" s="41">
        <f t="shared" si="360"/>
        <v>12759925.5</v>
      </c>
      <c r="DO155" s="41">
        <f t="shared" si="387"/>
        <v>161835.09188034188</v>
      </c>
      <c r="DP155" s="42">
        <f t="shared" si="361"/>
        <v>0</v>
      </c>
      <c r="DQ155" s="42">
        <f t="shared" si="362"/>
        <v>0</v>
      </c>
      <c r="DR155" s="42">
        <f t="shared" si="363"/>
        <v>0</v>
      </c>
      <c r="DS155" s="42">
        <f t="shared" si="364"/>
        <v>0</v>
      </c>
      <c r="DT155" s="42">
        <f t="shared" si="365"/>
        <v>0</v>
      </c>
      <c r="DU155" s="42">
        <f t="shared" si="366"/>
        <v>0</v>
      </c>
      <c r="DV155" s="42">
        <f t="shared" si="367"/>
        <v>0</v>
      </c>
      <c r="DW155" s="42">
        <f t="shared" si="368"/>
        <v>0</v>
      </c>
      <c r="DX155" s="42">
        <f t="shared" si="369"/>
        <v>3189468.3360042982</v>
      </c>
      <c r="DY155" s="42">
        <f>IF(DM155="",DY154,DN155-SUM($DO$6:DO155)+SUM($DP$6:DV155)-SUM($DW$6:DW155))</f>
        <v>9570457.1639957018</v>
      </c>
      <c r="DZ155" s="43">
        <f t="shared" si="388"/>
        <v>0.75004020705259622</v>
      </c>
      <c r="EA155" s="43"/>
      <c r="EB155" s="43" t="str">
        <f t="shared" si="398"/>
        <v>True</v>
      </c>
      <c r="EC155" s="41">
        <f t="shared" si="389"/>
        <v>222480</v>
      </c>
      <c r="ED155" s="41">
        <f t="shared" si="390"/>
        <v>686673.49999999988</v>
      </c>
      <c r="EE155" s="41">
        <f t="shared" si="370"/>
        <v>1037621.9999999999</v>
      </c>
      <c r="EF155" s="41">
        <f t="shared" si="391"/>
        <v>12360</v>
      </c>
      <c r="EG155" s="42">
        <f t="shared" si="392"/>
        <v>9537.1319444444434</v>
      </c>
      <c r="EH155" s="42">
        <f t="shared" si="393"/>
        <v>7205.7083333333321</v>
      </c>
      <c r="EI155" s="42">
        <f t="shared" si="371"/>
        <v>61800</v>
      </c>
      <c r="EJ155" s="42">
        <f t="shared" si="372"/>
        <v>47686</v>
      </c>
      <c r="EK155" s="42">
        <f t="shared" si="373"/>
        <v>36029</v>
      </c>
      <c r="EL155" s="42">
        <f>IF(DM155="","",EC155-SUM($EF$6:EF155)+SUM($DP$6:DP155))</f>
        <v>160680.00000000186</v>
      </c>
      <c r="EM155" s="42">
        <f>IF(DM155="","",ED155-SUM($EG$6:EG155)+SUM($DQ$6:DQ155))</f>
        <v>638987.84027777368</v>
      </c>
      <c r="EN155" s="42">
        <f>IF(DM155="","",EE155-SUM($EH$6:EH155)+SUM($DR$6:DR155))</f>
        <v>1001593.4583333314</v>
      </c>
      <c r="EO155" s="152">
        <f t="shared" si="374"/>
        <v>0.92525373296053248</v>
      </c>
      <c r="EP155" s="43"/>
      <c r="EQ155" s="42">
        <f t="shared" si="375"/>
        <v>448050</v>
      </c>
      <c r="ER155" s="42">
        <f t="shared" si="376"/>
        <v>248100</v>
      </c>
      <c r="ES155" s="42">
        <f t="shared" si="394"/>
        <v>3733.75</v>
      </c>
      <c r="ET155" s="42">
        <f t="shared" si="395"/>
        <v>6122.9807692307695</v>
      </c>
      <c r="EU155" s="42">
        <f t="shared" si="377"/>
        <v>108279</v>
      </c>
      <c r="EV155" s="42">
        <f t="shared" si="378"/>
        <v>168024</v>
      </c>
      <c r="EW155" s="42">
        <f>IF(DM155="","",IF(DS155&gt;0,DS155,EQ155-SUM($ES$6:ES155)+SUM($DS$6:DS155)))</f>
        <v>339771.25</v>
      </c>
      <c r="EX155" s="42">
        <f>IF(DM155="","",IF(DT155&gt;0,DT155,ER155-SUM($ET$6:ET155)+SUM($DT$6:DT155)))</f>
        <v>80075.865384617122</v>
      </c>
      <c r="EY155" s="43">
        <f t="shared" si="379"/>
        <v>0.32275641025641727</v>
      </c>
      <c r="EZ155" s="43">
        <f t="shared" si="380"/>
        <v>0.7583333333333333</v>
      </c>
      <c r="FA155" s="43"/>
      <c r="FB155" s="42">
        <f t="shared" si="381"/>
        <v>4935000</v>
      </c>
      <c r="FC155" s="42">
        <f t="shared" si="382"/>
        <v>5182000</v>
      </c>
      <c r="FD155" s="41">
        <f t="shared" si="396"/>
        <v>89960.9375</v>
      </c>
      <c r="FE155" s="41">
        <f t="shared" si="397"/>
        <v>32914.583333333336</v>
      </c>
      <c r="FF155" s="42">
        <f t="shared" si="383"/>
        <v>659958</v>
      </c>
      <c r="FG155" s="42">
        <f t="shared" si="384"/>
        <v>2107693</v>
      </c>
      <c r="FH155" s="42">
        <f>IF(DM155="","",IF(DU155&gt;0,DU155,FB155-SUM($FD$6:FD155)+SUM($DU$6:DU155)))</f>
        <v>4275041.6666666642</v>
      </c>
      <c r="FI155" s="42">
        <f>IF(DM155="","",FC155-SUM($FE$6:FE155)+SUM($DV$6:DV155)-SUM($DW$6:DW155))</f>
        <v>3074307.0833333321</v>
      </c>
      <c r="FJ155" s="152">
        <f t="shared" si="385"/>
        <v>0.72643557872887188</v>
      </c>
      <c r="FN155" s="8"/>
      <c r="FO155" s="8"/>
      <c r="FP155" s="8"/>
      <c r="FQ155" s="8"/>
      <c r="FR155" s="8"/>
      <c r="FS155" s="8"/>
      <c r="FT155" s="8"/>
      <c r="FU155" s="8"/>
      <c r="GC155" s="68">
        <f t="shared" si="349"/>
        <v>150</v>
      </c>
      <c r="GD155" s="78">
        <f t="shared" si="350"/>
        <v>0</v>
      </c>
      <c r="GE155" s="309">
        <f t="shared" si="351"/>
        <v>0.73735713207066622</v>
      </c>
      <c r="GF155" s="78">
        <f t="shared" si="352"/>
        <v>0</v>
      </c>
      <c r="GG155" s="310">
        <f t="shared" si="353"/>
        <v>0.91030447955263938</v>
      </c>
      <c r="GH155" s="78">
        <f t="shared" si="354"/>
        <v>0</v>
      </c>
      <c r="GI155" s="310">
        <f t="shared" si="355"/>
        <v>0.75</v>
      </c>
      <c r="GJ155" s="311">
        <f t="shared" si="356"/>
        <v>0</v>
      </c>
      <c r="GK155" s="310">
        <f t="shared" si="357"/>
        <v>0.29807692307693018</v>
      </c>
      <c r="GL155" s="311">
        <f t="shared" si="358"/>
        <v>0</v>
      </c>
      <c r="GM155" s="310">
        <f t="shared" si="359"/>
        <v>0.7142901284142199</v>
      </c>
      <c r="HD155" s="13"/>
      <c r="HE155" s="24"/>
      <c r="HF155" s="13"/>
      <c r="HG155" s="14"/>
      <c r="HH155" s="13"/>
      <c r="HI155" s="13"/>
      <c r="HJ155" s="13"/>
      <c r="HK155" s="13"/>
      <c r="HL155" s="13"/>
      <c r="HM155" s="14"/>
      <c r="HN155" s="13"/>
      <c r="HO155" s="13"/>
    </row>
    <row r="156" spans="3:223" x14ac:dyDescent="0.2">
      <c r="C156" s="426">
        <f t="shared" si="346"/>
        <v>43952</v>
      </c>
      <c r="D156" s="155">
        <f t="shared" si="347"/>
        <v>88</v>
      </c>
      <c r="E156" s="155">
        <f t="shared" si="345"/>
        <v>12624583.5</v>
      </c>
      <c r="F156" s="155"/>
      <c r="G156" s="438">
        <f t="shared" si="348"/>
        <v>160895.21688034188</v>
      </c>
      <c r="I156" s="444">
        <f>IF(D156="","",'Mx FORECAST'!DX94)</f>
        <v>2770709.2313034292</v>
      </c>
      <c r="J156" s="155">
        <f>IF(D156="","",'Mx FORECAST'!DP94)</f>
        <v>0</v>
      </c>
      <c r="K156" s="155">
        <f>IF(D156="","",'Mx FORECAST'!DQ94)</f>
        <v>0</v>
      </c>
      <c r="M156" s="155">
        <f>IF(D156="","",'Mx FORECAST'!DR94)</f>
        <v>0</v>
      </c>
      <c r="O156" s="155">
        <f>IF(D156="","",'Mx FORECAST'!DS94)</f>
        <v>0</v>
      </c>
      <c r="Q156" s="155">
        <f>IF(D156="","",'Mx FORECAST'!DT94)</f>
        <v>0</v>
      </c>
      <c r="S156" s="155">
        <f>IF(D156="","",'Mx FORECAST'!DU94)</f>
        <v>0</v>
      </c>
      <c r="U156" s="155">
        <f>IF(D156="","",'Mx FORECAST'!DV94)</f>
        <v>0</v>
      </c>
      <c r="W156" s="540">
        <f>IF(D156="","",'Mx FORECAST'!DY94)</f>
        <v>9853874.2686965708</v>
      </c>
      <c r="X156" s="540"/>
      <c r="Y156" s="437">
        <f>IF(D156="","",'Mx FORECAST'!DZ94)</f>
        <v>0.78053064235319691</v>
      </c>
      <c r="AD156" s="155"/>
      <c r="AF156" s="155"/>
      <c r="AH156" s="155"/>
      <c r="AJ156" s="155"/>
      <c r="AK156" s="8"/>
      <c r="AL156" s="8"/>
      <c r="AM156" s="8"/>
      <c r="AN156" s="8"/>
      <c r="AO156" s="8"/>
      <c r="AP156" s="8"/>
      <c r="AQ156" s="8"/>
      <c r="AR156" s="8"/>
      <c r="AS156" s="8"/>
      <c r="AT156" s="8"/>
      <c r="AU156" s="8"/>
      <c r="AV156" s="8"/>
      <c r="AW156" s="8"/>
      <c r="AX156" s="8"/>
      <c r="AY156" s="8"/>
      <c r="AZ156" s="8"/>
      <c r="BZ156" s="9"/>
      <c r="CA156" s="9"/>
      <c r="CB156" s="9"/>
      <c r="DM156" s="44">
        <f t="shared" si="386"/>
        <v>150</v>
      </c>
      <c r="DN156" s="41">
        <f t="shared" si="360"/>
        <v>12759925.5</v>
      </c>
      <c r="DO156" s="41">
        <f t="shared" si="387"/>
        <v>161835.09188034188</v>
      </c>
      <c r="DP156" s="42">
        <f t="shared" si="361"/>
        <v>0</v>
      </c>
      <c r="DQ156" s="42">
        <f t="shared" si="362"/>
        <v>0</v>
      </c>
      <c r="DR156" s="42">
        <f t="shared" si="363"/>
        <v>0</v>
      </c>
      <c r="DS156" s="42">
        <f t="shared" si="364"/>
        <v>0</v>
      </c>
      <c r="DT156" s="42">
        <f t="shared" si="365"/>
        <v>0</v>
      </c>
      <c r="DU156" s="42">
        <f t="shared" si="366"/>
        <v>0</v>
      </c>
      <c r="DV156" s="42">
        <f t="shared" si="367"/>
        <v>0</v>
      </c>
      <c r="DW156" s="42">
        <f t="shared" si="368"/>
        <v>0</v>
      </c>
      <c r="DX156" s="42">
        <f t="shared" si="369"/>
        <v>3351303.4278846383</v>
      </c>
      <c r="DY156" s="42">
        <f>IF(DM156="",DY155,DN156-SUM($DO$6:DO156)+SUM($DP$6:DV156)-SUM($DW$6:DW156))</f>
        <v>9408622.0721153617</v>
      </c>
      <c r="DZ156" s="43">
        <f t="shared" si="388"/>
        <v>0.73735713207066622</v>
      </c>
      <c r="EA156" s="43"/>
      <c r="EB156" s="43" t="str">
        <f t="shared" si="398"/>
        <v>True</v>
      </c>
      <c r="EC156" s="41">
        <f t="shared" si="389"/>
        <v>222480</v>
      </c>
      <c r="ED156" s="41">
        <f t="shared" si="390"/>
        <v>686673.49999999988</v>
      </c>
      <c r="EE156" s="41">
        <f t="shared" si="370"/>
        <v>1037621.9999999999</v>
      </c>
      <c r="EF156" s="41">
        <f t="shared" si="391"/>
        <v>12360</v>
      </c>
      <c r="EG156" s="42">
        <f t="shared" si="392"/>
        <v>9537.1319444444434</v>
      </c>
      <c r="EH156" s="42">
        <f t="shared" si="393"/>
        <v>7205.7083333333321</v>
      </c>
      <c r="EI156" s="42">
        <f t="shared" si="371"/>
        <v>74160</v>
      </c>
      <c r="EJ156" s="42">
        <f t="shared" si="372"/>
        <v>57223</v>
      </c>
      <c r="EK156" s="42">
        <f t="shared" si="373"/>
        <v>43234</v>
      </c>
      <c r="EL156" s="42">
        <f>IF(DM156="","",EC156-SUM($EF$6:EF156)+SUM($DP$6:DP156))</f>
        <v>148320.00000000186</v>
      </c>
      <c r="EM156" s="42">
        <f>IF(DM156="","",ED156-SUM($EG$6:EG156)+SUM($DQ$6:DQ156))</f>
        <v>629450.70833332918</v>
      </c>
      <c r="EN156" s="42">
        <f>IF(DM156="","",EE156-SUM($EH$6:EH156)+SUM($DR$6:DR156))</f>
        <v>994387.74999999802</v>
      </c>
      <c r="EO156" s="152">
        <f t="shared" si="374"/>
        <v>0.91030447955263938</v>
      </c>
      <c r="EP156" s="43"/>
      <c r="EQ156" s="42">
        <f t="shared" si="375"/>
        <v>448050</v>
      </c>
      <c r="ER156" s="42">
        <f t="shared" si="376"/>
        <v>248100</v>
      </c>
      <c r="ES156" s="42">
        <f t="shared" si="394"/>
        <v>3733.75</v>
      </c>
      <c r="ET156" s="42">
        <f t="shared" si="395"/>
        <v>6122.9807692307695</v>
      </c>
      <c r="EU156" s="42">
        <f t="shared" si="377"/>
        <v>112013</v>
      </c>
      <c r="EV156" s="42">
        <f t="shared" si="378"/>
        <v>174147</v>
      </c>
      <c r="EW156" s="42">
        <f>IF(DM156="","",IF(DS156&gt;0,DS156,EQ156-SUM($ES$6:ES156)+SUM($DS$6:DS156)))</f>
        <v>336037.5</v>
      </c>
      <c r="EX156" s="42">
        <f>IF(DM156="","",IF(DT156&gt;0,DT156,ER156-SUM($ET$6:ET156)+SUM($DT$6:DT156)))</f>
        <v>73952.884615386371</v>
      </c>
      <c r="EY156" s="43">
        <f t="shared" si="379"/>
        <v>0.29807692307693018</v>
      </c>
      <c r="EZ156" s="43">
        <f t="shared" si="380"/>
        <v>0.75</v>
      </c>
      <c r="FA156" s="43"/>
      <c r="FB156" s="42">
        <f t="shared" si="381"/>
        <v>4935000</v>
      </c>
      <c r="FC156" s="42">
        <f t="shared" si="382"/>
        <v>5182000</v>
      </c>
      <c r="FD156" s="41">
        <f t="shared" si="396"/>
        <v>89960.9375</v>
      </c>
      <c r="FE156" s="41">
        <f t="shared" si="397"/>
        <v>32914.583333333336</v>
      </c>
      <c r="FF156" s="42">
        <f t="shared" si="383"/>
        <v>749919</v>
      </c>
      <c r="FG156" s="42">
        <f t="shared" si="384"/>
        <v>2140608</v>
      </c>
      <c r="FH156" s="42">
        <f>IF(DM156="","",IF(DU156&gt;0,DU156,FB156-SUM($FD$6:FD156)+SUM($DU$6:DU156)))</f>
        <v>4185080.7291666642</v>
      </c>
      <c r="FI156" s="42">
        <f>IF(DM156="","",FC156-SUM($FE$6:FE156)+SUM($DV$6:DV156)-SUM($DW$6:DW156))</f>
        <v>3041392.4999999991</v>
      </c>
      <c r="FJ156" s="152">
        <f t="shared" si="385"/>
        <v>0.7142901284142199</v>
      </c>
      <c r="FN156" s="8"/>
      <c r="FO156" s="8"/>
      <c r="FP156" s="8"/>
      <c r="FQ156" s="8"/>
      <c r="FR156" s="8"/>
      <c r="FS156" s="8"/>
      <c r="FT156" s="8"/>
      <c r="FU156" s="8"/>
      <c r="GC156" s="68">
        <f t="shared" si="349"/>
        <v>151</v>
      </c>
      <c r="GD156" s="78">
        <f t="shared" si="350"/>
        <v>0</v>
      </c>
      <c r="GE156" s="309">
        <f t="shared" si="351"/>
        <v>0.72467405708873622</v>
      </c>
      <c r="GF156" s="78">
        <f t="shared" si="352"/>
        <v>0</v>
      </c>
      <c r="GG156" s="310">
        <f t="shared" si="353"/>
        <v>0.89535522614474627</v>
      </c>
      <c r="GH156" s="78">
        <f t="shared" si="354"/>
        <v>0</v>
      </c>
      <c r="GI156" s="310">
        <f t="shared" si="355"/>
        <v>0.7416666666666667</v>
      </c>
      <c r="GJ156" s="311">
        <f t="shared" si="356"/>
        <v>0</v>
      </c>
      <c r="GK156" s="310">
        <f t="shared" si="357"/>
        <v>0.27339743589744303</v>
      </c>
      <c r="GL156" s="311">
        <f t="shared" si="358"/>
        <v>0</v>
      </c>
      <c r="GM156" s="310">
        <f t="shared" si="359"/>
        <v>0.70214467809956804</v>
      </c>
      <c r="HD156" s="13"/>
      <c r="HE156" s="24"/>
      <c r="HF156" s="13"/>
      <c r="HG156" s="14"/>
      <c r="HH156" s="13"/>
      <c r="HI156" s="13"/>
      <c r="HJ156" s="13"/>
      <c r="HK156" s="13"/>
      <c r="HL156" s="13"/>
      <c r="HM156" s="14"/>
      <c r="HN156" s="13"/>
      <c r="HO156" s="13"/>
    </row>
    <row r="157" spans="3:223" x14ac:dyDescent="0.2">
      <c r="C157" s="426">
        <f t="shared" si="346"/>
        <v>43983</v>
      </c>
      <c r="D157" s="155">
        <f t="shared" si="347"/>
        <v>89</v>
      </c>
      <c r="E157" s="155">
        <f t="shared" si="345"/>
        <v>12624583.5</v>
      </c>
      <c r="F157" s="155"/>
      <c r="G157" s="438">
        <f t="shared" si="348"/>
        <v>160895.21688034188</v>
      </c>
      <c r="I157" s="444">
        <f>IF(D157="","",'Mx FORECAST'!DX95)</f>
        <v>2931604.4481837712</v>
      </c>
      <c r="J157" s="155">
        <f>IF(D157="","",'Mx FORECAST'!DP95)</f>
        <v>0</v>
      </c>
      <c r="K157" s="155">
        <f>IF(D157="","",'Mx FORECAST'!DQ95)</f>
        <v>0</v>
      </c>
      <c r="M157" s="155">
        <f>IF(D157="","",'Mx FORECAST'!DR95)</f>
        <v>0</v>
      </c>
      <c r="O157" s="155">
        <f>IF(D157="","",'Mx FORECAST'!DS95)</f>
        <v>0</v>
      </c>
      <c r="Q157" s="155">
        <f>IF(D157="","",'Mx FORECAST'!DT95)</f>
        <v>0</v>
      </c>
      <c r="S157" s="155">
        <f>IF(D157="","",'Mx FORECAST'!DU95)</f>
        <v>0</v>
      </c>
      <c r="U157" s="155">
        <f>IF(D157="","",'Mx FORECAST'!DV95)</f>
        <v>0</v>
      </c>
      <c r="W157" s="540">
        <f>IF(D157="","",'Mx FORECAST'!DY95)</f>
        <v>9692979.0518162288</v>
      </c>
      <c r="X157" s="540"/>
      <c r="Y157" s="437">
        <f>IF(D157="","",'Mx FORECAST'!DZ95)</f>
        <v>0.76778604631322922</v>
      </c>
      <c r="AD157" s="155"/>
      <c r="AF157" s="155"/>
      <c r="AH157" s="155"/>
      <c r="AJ157" s="155"/>
      <c r="AK157" s="8"/>
      <c r="AL157" s="8"/>
      <c r="AM157" s="8"/>
      <c r="AN157" s="8"/>
      <c r="AO157" s="8"/>
      <c r="AP157" s="8"/>
      <c r="AQ157" s="8"/>
      <c r="AR157" s="8"/>
      <c r="AS157" s="8"/>
      <c r="AT157" s="8"/>
      <c r="AU157" s="8"/>
      <c r="AV157" s="8"/>
      <c r="AW157" s="8"/>
      <c r="AX157" s="8"/>
      <c r="AY157" s="8"/>
      <c r="AZ157" s="8"/>
      <c r="BZ157" s="9"/>
      <c r="CA157" s="9"/>
      <c r="CB157" s="9"/>
      <c r="DM157" s="44">
        <f t="shared" si="386"/>
        <v>151</v>
      </c>
      <c r="DN157" s="41">
        <f t="shared" si="360"/>
        <v>12759925.5</v>
      </c>
      <c r="DO157" s="41">
        <f t="shared" si="387"/>
        <v>161835.09188034188</v>
      </c>
      <c r="DP157" s="42">
        <f t="shared" si="361"/>
        <v>0</v>
      </c>
      <c r="DQ157" s="42">
        <f t="shared" si="362"/>
        <v>0</v>
      </c>
      <c r="DR157" s="42">
        <f t="shared" si="363"/>
        <v>0</v>
      </c>
      <c r="DS157" s="42">
        <f t="shared" si="364"/>
        <v>0</v>
      </c>
      <c r="DT157" s="42">
        <f t="shared" si="365"/>
        <v>0</v>
      </c>
      <c r="DU157" s="42">
        <f t="shared" si="366"/>
        <v>0</v>
      </c>
      <c r="DV157" s="42">
        <f t="shared" si="367"/>
        <v>0</v>
      </c>
      <c r="DW157" s="42">
        <f t="shared" si="368"/>
        <v>0</v>
      </c>
      <c r="DX157" s="42">
        <f t="shared" si="369"/>
        <v>3513138.5197649784</v>
      </c>
      <c r="DY157" s="42">
        <f>IF(DM157="",DY156,DN157-SUM($DO$6:DO157)+SUM($DP$6:DV157)-SUM($DW$6:DW157))</f>
        <v>9246786.9802350216</v>
      </c>
      <c r="DZ157" s="43">
        <f t="shared" si="388"/>
        <v>0.72467405708873622</v>
      </c>
      <c r="EA157" s="43"/>
      <c r="EB157" s="43" t="str">
        <f t="shared" si="398"/>
        <v>True</v>
      </c>
      <c r="EC157" s="41">
        <f t="shared" si="389"/>
        <v>222480</v>
      </c>
      <c r="ED157" s="41">
        <f t="shared" si="390"/>
        <v>686673.49999999988</v>
      </c>
      <c r="EE157" s="41">
        <f t="shared" si="370"/>
        <v>1037621.9999999999</v>
      </c>
      <c r="EF157" s="41">
        <f t="shared" si="391"/>
        <v>12360</v>
      </c>
      <c r="EG157" s="42">
        <f t="shared" si="392"/>
        <v>9537.1319444444434</v>
      </c>
      <c r="EH157" s="42">
        <f t="shared" si="393"/>
        <v>7205.7083333333321</v>
      </c>
      <c r="EI157" s="42">
        <f t="shared" si="371"/>
        <v>86520</v>
      </c>
      <c r="EJ157" s="42">
        <f t="shared" si="372"/>
        <v>66760</v>
      </c>
      <c r="EK157" s="42">
        <f t="shared" si="373"/>
        <v>50440</v>
      </c>
      <c r="EL157" s="42">
        <f>IF(DM157="","",EC157-SUM($EF$6:EF157)+SUM($DP$6:DP157))</f>
        <v>135960.00000000186</v>
      </c>
      <c r="EM157" s="42">
        <f>IF(DM157="","",ED157-SUM($EG$6:EG157)+SUM($DQ$6:DQ157))</f>
        <v>619913.57638888469</v>
      </c>
      <c r="EN157" s="42">
        <f>IF(DM157="","",EE157-SUM($EH$6:EH157)+SUM($DR$6:DR157))</f>
        <v>987182.04166666465</v>
      </c>
      <c r="EO157" s="152">
        <f t="shared" si="374"/>
        <v>0.89535522614474627</v>
      </c>
      <c r="EP157" s="43"/>
      <c r="EQ157" s="42">
        <f t="shared" si="375"/>
        <v>448050</v>
      </c>
      <c r="ER157" s="42">
        <f t="shared" si="376"/>
        <v>248100</v>
      </c>
      <c r="ES157" s="42">
        <f t="shared" si="394"/>
        <v>3733.75</v>
      </c>
      <c r="ET157" s="42">
        <f t="shared" si="395"/>
        <v>6122.9807692307695</v>
      </c>
      <c r="EU157" s="42">
        <f t="shared" si="377"/>
        <v>115746</v>
      </c>
      <c r="EV157" s="42">
        <f t="shared" si="378"/>
        <v>180270</v>
      </c>
      <c r="EW157" s="42">
        <f>IF(DM157="","",IF(DS157&gt;0,DS157,EQ157-SUM($ES$6:ES157)+SUM($DS$6:DS157)))</f>
        <v>332303.75</v>
      </c>
      <c r="EX157" s="42">
        <f>IF(DM157="","",IF(DT157&gt;0,DT157,ER157-SUM($ET$6:ET157)+SUM($DT$6:DT157)))</f>
        <v>67829.903846155619</v>
      </c>
      <c r="EY157" s="43">
        <f t="shared" si="379"/>
        <v>0.27339743589744303</v>
      </c>
      <c r="EZ157" s="43">
        <f t="shared" si="380"/>
        <v>0.7416666666666667</v>
      </c>
      <c r="FA157" s="43"/>
      <c r="FB157" s="42">
        <f t="shared" si="381"/>
        <v>4935000</v>
      </c>
      <c r="FC157" s="42">
        <f t="shared" si="382"/>
        <v>5182000</v>
      </c>
      <c r="FD157" s="41">
        <f t="shared" si="396"/>
        <v>89960.9375</v>
      </c>
      <c r="FE157" s="41">
        <f t="shared" si="397"/>
        <v>32914.583333333336</v>
      </c>
      <c r="FF157" s="42">
        <f t="shared" si="383"/>
        <v>839880</v>
      </c>
      <c r="FG157" s="42">
        <f t="shared" si="384"/>
        <v>2173522</v>
      </c>
      <c r="FH157" s="42">
        <f>IF(DM157="","",IF(DU157&gt;0,DU157,FB157-SUM($FD$6:FD157)+SUM($DU$6:DU157)))</f>
        <v>4095119.7916666642</v>
      </c>
      <c r="FI157" s="42">
        <f>IF(DM157="","",FC157-SUM($FE$6:FE157)+SUM($DV$6:DV157)-SUM($DW$6:DW157))</f>
        <v>3008477.916666666</v>
      </c>
      <c r="FJ157" s="152">
        <f t="shared" si="385"/>
        <v>0.70214467809956804</v>
      </c>
      <c r="FN157" s="8"/>
      <c r="FO157" s="8"/>
      <c r="FP157" s="8"/>
      <c r="FQ157" s="8"/>
      <c r="FR157" s="8"/>
      <c r="FS157" s="8"/>
      <c r="FT157" s="8"/>
      <c r="FU157" s="8"/>
      <c r="GC157" s="68">
        <f t="shared" si="349"/>
        <v>152</v>
      </c>
      <c r="GD157" s="78">
        <f t="shared" si="350"/>
        <v>0</v>
      </c>
      <c r="GE157" s="309">
        <f t="shared" si="351"/>
        <v>0.71199098210680634</v>
      </c>
      <c r="GF157" s="78">
        <f t="shared" si="352"/>
        <v>0</v>
      </c>
      <c r="GG157" s="310">
        <f t="shared" si="353"/>
        <v>0.88040597273685306</v>
      </c>
      <c r="GH157" s="78">
        <f t="shared" si="354"/>
        <v>0</v>
      </c>
      <c r="GI157" s="310">
        <f t="shared" si="355"/>
        <v>0.73333333333333328</v>
      </c>
      <c r="GJ157" s="311">
        <f t="shared" si="356"/>
        <v>0</v>
      </c>
      <c r="GK157" s="310">
        <f t="shared" si="357"/>
        <v>0.24871794871795594</v>
      </c>
      <c r="GL157" s="311">
        <f t="shared" si="358"/>
        <v>0</v>
      </c>
      <c r="GM157" s="310">
        <f t="shared" si="359"/>
        <v>0.68999922778491618</v>
      </c>
      <c r="HD157" s="13"/>
      <c r="HE157" s="24"/>
      <c r="HF157" s="13"/>
      <c r="HG157" s="14"/>
      <c r="HH157" s="13"/>
      <c r="HI157" s="13"/>
      <c r="HJ157" s="13"/>
      <c r="HK157" s="13"/>
      <c r="HL157" s="13"/>
      <c r="HM157" s="14"/>
      <c r="HN157" s="13"/>
      <c r="HO157" s="13"/>
    </row>
    <row r="158" spans="3:223" x14ac:dyDescent="0.2">
      <c r="C158" s="426">
        <f t="shared" si="346"/>
        <v>44013</v>
      </c>
      <c r="D158" s="155">
        <f t="shared" si="347"/>
        <v>90</v>
      </c>
      <c r="E158" s="155">
        <f t="shared" si="345"/>
        <v>12624583.5</v>
      </c>
      <c r="F158" s="155"/>
      <c r="G158" s="438">
        <f t="shared" si="348"/>
        <v>160895.21688034188</v>
      </c>
      <c r="I158" s="444">
        <f>IF(D158="","",'Mx FORECAST'!DX96)</f>
        <v>2870019.6650641132</v>
      </c>
      <c r="J158" s="155">
        <f>IF(D158="","",'Mx FORECAST'!DP96)</f>
        <v>222480</v>
      </c>
      <c r="K158" s="155">
        <f>IF(D158="","",'Mx FORECAST'!DQ96)</f>
        <v>0</v>
      </c>
      <c r="M158" s="155">
        <f>IF(D158="","",'Mx FORECAST'!DR96)</f>
        <v>0</v>
      </c>
      <c r="O158" s="155">
        <f>IF(D158="","",'Mx FORECAST'!DS96)</f>
        <v>0</v>
      </c>
      <c r="Q158" s="155">
        <f>IF(D158="","",'Mx FORECAST'!DT96)</f>
        <v>0</v>
      </c>
      <c r="S158" s="155">
        <f>IF(D158="","",'Mx FORECAST'!DU96)</f>
        <v>0</v>
      </c>
      <c r="U158" s="155">
        <f>IF(D158="","",'Mx FORECAST'!DV96)</f>
        <v>0</v>
      </c>
      <c r="W158" s="540">
        <f>IF(D158="","",'Mx FORECAST'!DY96)</f>
        <v>9754563.8349358868</v>
      </c>
      <c r="X158" s="540"/>
      <c r="Y158" s="437">
        <f>IF(D158="","",'Mx FORECAST'!DZ96)</f>
        <v>0.77266420986766704</v>
      </c>
      <c r="AD158" s="155"/>
      <c r="AF158" s="155"/>
      <c r="AH158" s="155"/>
      <c r="AJ158" s="155"/>
      <c r="AK158" s="8"/>
      <c r="AL158" s="8"/>
      <c r="AM158" s="8"/>
      <c r="AN158" s="8"/>
      <c r="AO158" s="8"/>
      <c r="AP158" s="8"/>
      <c r="AQ158" s="8"/>
      <c r="AR158" s="8"/>
      <c r="AS158" s="8"/>
      <c r="AT158" s="8"/>
      <c r="AU158" s="8"/>
      <c r="AV158" s="8"/>
      <c r="AW158" s="8"/>
      <c r="AX158" s="8"/>
      <c r="AY158" s="8"/>
      <c r="AZ158" s="8"/>
      <c r="BZ158" s="9"/>
      <c r="CA158" s="9"/>
      <c r="CB158" s="9"/>
      <c r="DM158" s="44">
        <f t="shared" si="386"/>
        <v>152</v>
      </c>
      <c r="DN158" s="41">
        <f t="shared" si="360"/>
        <v>12759925.5</v>
      </c>
      <c r="DO158" s="41">
        <f t="shared" si="387"/>
        <v>161835.09188034188</v>
      </c>
      <c r="DP158" s="42">
        <f t="shared" si="361"/>
        <v>0</v>
      </c>
      <c r="DQ158" s="42">
        <f t="shared" si="362"/>
        <v>0</v>
      </c>
      <c r="DR158" s="42">
        <f t="shared" si="363"/>
        <v>0</v>
      </c>
      <c r="DS158" s="42">
        <f t="shared" si="364"/>
        <v>0</v>
      </c>
      <c r="DT158" s="42">
        <f t="shared" si="365"/>
        <v>0</v>
      </c>
      <c r="DU158" s="42">
        <f t="shared" si="366"/>
        <v>0</v>
      </c>
      <c r="DV158" s="42">
        <f t="shared" si="367"/>
        <v>0</v>
      </c>
      <c r="DW158" s="42">
        <f t="shared" si="368"/>
        <v>0</v>
      </c>
      <c r="DX158" s="42">
        <f t="shared" si="369"/>
        <v>3674973.6116453186</v>
      </c>
      <c r="DY158" s="42">
        <f>IF(DM158="",DY157,DN158-SUM($DO$6:DO158)+SUM($DP$6:DV158)-SUM($DW$6:DW158))</f>
        <v>9084951.8883546814</v>
      </c>
      <c r="DZ158" s="43">
        <f t="shared" si="388"/>
        <v>0.71199098210680634</v>
      </c>
      <c r="EA158" s="43"/>
      <c r="EB158" s="43" t="str">
        <f t="shared" si="398"/>
        <v>True</v>
      </c>
      <c r="EC158" s="41">
        <f t="shared" si="389"/>
        <v>222480</v>
      </c>
      <c r="ED158" s="41">
        <f t="shared" si="390"/>
        <v>686673.49999999988</v>
      </c>
      <c r="EE158" s="41">
        <f t="shared" si="370"/>
        <v>1037621.9999999999</v>
      </c>
      <c r="EF158" s="41">
        <f t="shared" si="391"/>
        <v>12360</v>
      </c>
      <c r="EG158" s="42">
        <f t="shared" si="392"/>
        <v>9537.1319444444434</v>
      </c>
      <c r="EH158" s="42">
        <f t="shared" si="393"/>
        <v>7205.7083333333321</v>
      </c>
      <c r="EI158" s="42">
        <f t="shared" si="371"/>
        <v>98880</v>
      </c>
      <c r="EJ158" s="42">
        <f t="shared" si="372"/>
        <v>76297</v>
      </c>
      <c r="EK158" s="42">
        <f t="shared" si="373"/>
        <v>57646</v>
      </c>
      <c r="EL158" s="42">
        <f>IF(DM158="","",EC158-SUM($EF$6:EF158)+SUM($DP$6:DP158))</f>
        <v>123600.00000000186</v>
      </c>
      <c r="EM158" s="42">
        <f>IF(DM158="","",ED158-SUM($EG$6:EG158)+SUM($DQ$6:DQ158))</f>
        <v>610376.44444444019</v>
      </c>
      <c r="EN158" s="42">
        <f>IF(DM158="","",EE158-SUM($EH$6:EH158)+SUM($DR$6:DR158))</f>
        <v>979976.33333333128</v>
      </c>
      <c r="EO158" s="152">
        <f t="shared" si="374"/>
        <v>0.88040597273685306</v>
      </c>
      <c r="EP158" s="43"/>
      <c r="EQ158" s="42">
        <f t="shared" si="375"/>
        <v>448050</v>
      </c>
      <c r="ER158" s="42">
        <f t="shared" si="376"/>
        <v>248100</v>
      </c>
      <c r="ES158" s="42">
        <f t="shared" si="394"/>
        <v>3733.75</v>
      </c>
      <c r="ET158" s="42">
        <f t="shared" si="395"/>
        <v>6122.9807692307695</v>
      </c>
      <c r="EU158" s="42">
        <f t="shared" si="377"/>
        <v>119480</v>
      </c>
      <c r="EV158" s="42">
        <f t="shared" si="378"/>
        <v>186393</v>
      </c>
      <c r="EW158" s="42">
        <f>IF(DM158="","",IF(DS158&gt;0,DS158,EQ158-SUM($ES$6:ES158)+SUM($DS$6:DS158)))</f>
        <v>328570</v>
      </c>
      <c r="EX158" s="42">
        <f>IF(DM158="","",IF(DT158&gt;0,DT158,ER158-SUM($ET$6:ET158)+SUM($DT$6:DT158)))</f>
        <v>61706.923076924868</v>
      </c>
      <c r="EY158" s="43">
        <f t="shared" si="379"/>
        <v>0.24871794871795594</v>
      </c>
      <c r="EZ158" s="43">
        <f t="shared" si="380"/>
        <v>0.73333333333333328</v>
      </c>
      <c r="FA158" s="43"/>
      <c r="FB158" s="42">
        <f t="shared" si="381"/>
        <v>4935000</v>
      </c>
      <c r="FC158" s="42">
        <f t="shared" si="382"/>
        <v>5182000</v>
      </c>
      <c r="FD158" s="41">
        <f t="shared" si="396"/>
        <v>89960.9375</v>
      </c>
      <c r="FE158" s="41">
        <f t="shared" si="397"/>
        <v>32914.583333333336</v>
      </c>
      <c r="FF158" s="42">
        <f t="shared" si="383"/>
        <v>929841</v>
      </c>
      <c r="FG158" s="42">
        <f t="shared" si="384"/>
        <v>2206437</v>
      </c>
      <c r="FH158" s="42">
        <f>IF(DM158="","",IF(DU158&gt;0,DU158,FB158-SUM($FD$6:FD158)+SUM($DU$6:DU158)))</f>
        <v>4005158.8541666642</v>
      </c>
      <c r="FI158" s="42">
        <f>IF(DM158="","",FC158-SUM($FE$6:FE158)+SUM($DV$6:DV158)-SUM($DW$6:DW158))</f>
        <v>2975563.333333333</v>
      </c>
      <c r="FJ158" s="152">
        <f t="shared" si="385"/>
        <v>0.68999922778491618</v>
      </c>
      <c r="FN158" s="8"/>
      <c r="FO158" s="8"/>
      <c r="FP158" s="8"/>
      <c r="FQ158" s="8"/>
      <c r="FR158" s="8"/>
      <c r="FS158" s="8"/>
      <c r="FT158" s="8"/>
      <c r="FU158" s="8"/>
      <c r="GC158" s="68">
        <f t="shared" si="349"/>
        <v>153</v>
      </c>
      <c r="GD158" s="78">
        <f t="shared" si="350"/>
        <v>0</v>
      </c>
      <c r="GE158" s="309">
        <f t="shared" si="351"/>
        <v>0.69930790712487634</v>
      </c>
      <c r="GF158" s="78">
        <f t="shared" si="352"/>
        <v>0</v>
      </c>
      <c r="GG158" s="310">
        <f t="shared" si="353"/>
        <v>0.86545671932895984</v>
      </c>
      <c r="GH158" s="78">
        <f t="shared" si="354"/>
        <v>0</v>
      </c>
      <c r="GI158" s="310">
        <f t="shared" si="355"/>
        <v>0.72499999999999998</v>
      </c>
      <c r="GJ158" s="311">
        <f t="shared" si="356"/>
        <v>0</v>
      </c>
      <c r="GK158" s="310">
        <f t="shared" si="357"/>
        <v>0.22403846153846882</v>
      </c>
      <c r="GL158" s="311">
        <f t="shared" si="358"/>
        <v>0</v>
      </c>
      <c r="GM158" s="310">
        <f t="shared" si="359"/>
        <v>0.67785377747026432</v>
      </c>
      <c r="HD158" s="13"/>
      <c r="HE158" s="24"/>
      <c r="HF158" s="13"/>
      <c r="HG158" s="14"/>
      <c r="HH158" s="13"/>
      <c r="HI158" s="13"/>
      <c r="HJ158" s="13"/>
      <c r="HK158" s="13"/>
      <c r="HL158" s="13"/>
      <c r="HM158" s="14"/>
      <c r="HN158" s="13"/>
      <c r="HO158" s="13"/>
    </row>
    <row r="159" spans="3:223" x14ac:dyDescent="0.2">
      <c r="C159" s="426">
        <f t="shared" si="346"/>
        <v>44044</v>
      </c>
      <c r="D159" s="155">
        <f t="shared" si="347"/>
        <v>91</v>
      </c>
      <c r="E159" s="155">
        <f t="shared" si="345"/>
        <v>12666583.5</v>
      </c>
      <c r="F159" s="155"/>
      <c r="G159" s="438">
        <f t="shared" si="348"/>
        <v>163228.55021367522</v>
      </c>
      <c r="I159" s="444">
        <f>IF(D159="","",'Mx FORECAST'!DX97)</f>
        <v>3033248.2152777892</v>
      </c>
      <c r="J159" s="155">
        <f>IF(D159="","",'Mx FORECAST'!DP97)</f>
        <v>0</v>
      </c>
      <c r="K159" s="155">
        <f>IF(D159="","",'Mx FORECAST'!DQ97)</f>
        <v>0</v>
      </c>
      <c r="M159" s="155">
        <f>IF(D159="","",'Mx FORECAST'!DR97)</f>
        <v>0</v>
      </c>
      <c r="O159" s="155">
        <f>IF(D159="","",'Mx FORECAST'!DS97)</f>
        <v>0</v>
      </c>
      <c r="Q159" s="155">
        <f>IF(D159="","",'Mx FORECAST'!DT97)</f>
        <v>0</v>
      </c>
      <c r="S159" s="155">
        <f>IF(D159="","",'Mx FORECAST'!DU97)</f>
        <v>0</v>
      </c>
      <c r="U159" s="155">
        <f>IF(D159="","",'Mx FORECAST'!DV97)</f>
        <v>0</v>
      </c>
      <c r="W159" s="540">
        <f>IF(D159="","",'Mx FORECAST'!DY97)</f>
        <v>9633335.2847222108</v>
      </c>
      <c r="X159" s="540"/>
      <c r="Y159" s="437">
        <f>IF(D159="","",'Mx FORECAST'!DZ97)</f>
        <v>0.76053146333596666</v>
      </c>
      <c r="AD159" s="155"/>
      <c r="AF159" s="155"/>
      <c r="AH159" s="155"/>
      <c r="AJ159" s="155"/>
      <c r="AK159" s="8"/>
      <c r="AL159" s="8"/>
      <c r="AM159" s="8"/>
      <c r="AN159" s="8"/>
      <c r="AO159" s="8"/>
      <c r="AP159" s="8"/>
      <c r="AQ159" s="8"/>
      <c r="AR159" s="8"/>
      <c r="AS159" s="8"/>
      <c r="AT159" s="8"/>
      <c r="AU159" s="8"/>
      <c r="AV159" s="8"/>
      <c r="AW159" s="8"/>
      <c r="AX159" s="8"/>
      <c r="AY159" s="8"/>
      <c r="AZ159" s="8"/>
      <c r="BZ159" s="9"/>
      <c r="CA159" s="9"/>
      <c r="CB159" s="9"/>
      <c r="DM159" s="44">
        <f t="shared" si="386"/>
        <v>153</v>
      </c>
      <c r="DN159" s="41">
        <f t="shared" si="360"/>
        <v>12759925.5</v>
      </c>
      <c r="DO159" s="41">
        <f t="shared" si="387"/>
        <v>161835.09188034188</v>
      </c>
      <c r="DP159" s="42">
        <f t="shared" si="361"/>
        <v>0</v>
      </c>
      <c r="DQ159" s="42">
        <f t="shared" si="362"/>
        <v>0</v>
      </c>
      <c r="DR159" s="42">
        <f t="shared" si="363"/>
        <v>0</v>
      </c>
      <c r="DS159" s="42">
        <f t="shared" si="364"/>
        <v>0</v>
      </c>
      <c r="DT159" s="42">
        <f t="shared" si="365"/>
        <v>0</v>
      </c>
      <c r="DU159" s="42">
        <f t="shared" si="366"/>
        <v>0</v>
      </c>
      <c r="DV159" s="42">
        <f t="shared" si="367"/>
        <v>0</v>
      </c>
      <c r="DW159" s="42">
        <f t="shared" si="368"/>
        <v>0</v>
      </c>
      <c r="DX159" s="42">
        <f t="shared" si="369"/>
        <v>3836808.7035256587</v>
      </c>
      <c r="DY159" s="42">
        <f>IF(DM159="",DY158,DN159-SUM($DO$6:DO159)+SUM($DP$6:DV159)-SUM($DW$6:DW159))</f>
        <v>8923116.7964743413</v>
      </c>
      <c r="DZ159" s="43">
        <f t="shared" si="388"/>
        <v>0.69930790712487634</v>
      </c>
      <c r="EA159" s="43"/>
      <c r="EB159" s="43" t="str">
        <f t="shared" si="398"/>
        <v>True</v>
      </c>
      <c r="EC159" s="41">
        <f t="shared" si="389"/>
        <v>222480</v>
      </c>
      <c r="ED159" s="41">
        <f t="shared" si="390"/>
        <v>686673.49999999988</v>
      </c>
      <c r="EE159" s="41">
        <f t="shared" si="370"/>
        <v>1037621.9999999999</v>
      </c>
      <c r="EF159" s="41">
        <f t="shared" si="391"/>
        <v>12360</v>
      </c>
      <c r="EG159" s="42">
        <f t="shared" si="392"/>
        <v>9537.1319444444434</v>
      </c>
      <c r="EH159" s="42">
        <f t="shared" si="393"/>
        <v>7205.7083333333321</v>
      </c>
      <c r="EI159" s="42">
        <f t="shared" si="371"/>
        <v>111240</v>
      </c>
      <c r="EJ159" s="42">
        <f t="shared" si="372"/>
        <v>85834</v>
      </c>
      <c r="EK159" s="42">
        <f t="shared" si="373"/>
        <v>64851</v>
      </c>
      <c r="EL159" s="42">
        <f>IF(DM159="","",EC159-SUM($EF$6:EF159)+SUM($DP$6:DP159))</f>
        <v>111240.00000000186</v>
      </c>
      <c r="EM159" s="42">
        <f>IF(DM159="","",ED159-SUM($EG$6:EG159)+SUM($DQ$6:DQ159))</f>
        <v>600839.31249999569</v>
      </c>
      <c r="EN159" s="42">
        <f>IF(DM159="","",EE159-SUM($EH$6:EH159)+SUM($DR$6:DR159))</f>
        <v>972770.6249999979</v>
      </c>
      <c r="EO159" s="152">
        <f t="shared" si="374"/>
        <v>0.86545671932895984</v>
      </c>
      <c r="EP159" s="43"/>
      <c r="EQ159" s="42">
        <f t="shared" si="375"/>
        <v>448050</v>
      </c>
      <c r="ER159" s="42">
        <f t="shared" si="376"/>
        <v>248100</v>
      </c>
      <c r="ES159" s="42">
        <f t="shared" si="394"/>
        <v>3733.75</v>
      </c>
      <c r="ET159" s="42">
        <f t="shared" si="395"/>
        <v>6122.9807692307695</v>
      </c>
      <c r="EU159" s="42">
        <f t="shared" si="377"/>
        <v>123214</v>
      </c>
      <c r="EV159" s="42">
        <f t="shared" si="378"/>
        <v>192516</v>
      </c>
      <c r="EW159" s="42">
        <f>IF(DM159="","",IF(DS159&gt;0,DS159,EQ159-SUM($ES$6:ES159)+SUM($DS$6:DS159)))</f>
        <v>324836.25</v>
      </c>
      <c r="EX159" s="42">
        <f>IF(DM159="","",IF(DT159&gt;0,DT159,ER159-SUM($ET$6:ET159)+SUM($DT$6:DT159)))</f>
        <v>55583.942307694117</v>
      </c>
      <c r="EY159" s="43">
        <f t="shared" si="379"/>
        <v>0.22403846153846882</v>
      </c>
      <c r="EZ159" s="43">
        <f t="shared" si="380"/>
        <v>0.72499999999999998</v>
      </c>
      <c r="FA159" s="43"/>
      <c r="FB159" s="42">
        <f t="shared" si="381"/>
        <v>4935000</v>
      </c>
      <c r="FC159" s="42">
        <f t="shared" si="382"/>
        <v>5182000</v>
      </c>
      <c r="FD159" s="41">
        <f t="shared" si="396"/>
        <v>89960.9375</v>
      </c>
      <c r="FE159" s="41">
        <f t="shared" si="397"/>
        <v>32914.583333333336</v>
      </c>
      <c r="FF159" s="42">
        <f t="shared" si="383"/>
        <v>1019802</v>
      </c>
      <c r="FG159" s="42">
        <f t="shared" si="384"/>
        <v>2239351</v>
      </c>
      <c r="FH159" s="42">
        <f>IF(DM159="","",IF(DU159&gt;0,DU159,FB159-SUM($FD$6:FD159)+SUM($DU$6:DU159)))</f>
        <v>3915197.9166666642</v>
      </c>
      <c r="FI159" s="42">
        <f>IF(DM159="","",FC159-SUM($FE$6:FE159)+SUM($DV$6:DV159)-SUM($DW$6:DW159))</f>
        <v>2942648.75</v>
      </c>
      <c r="FJ159" s="152">
        <f t="shared" si="385"/>
        <v>0.67785377747026432</v>
      </c>
      <c r="FN159" s="8"/>
      <c r="FO159" s="8"/>
      <c r="FP159" s="8"/>
      <c r="FQ159" s="8"/>
      <c r="FR159" s="8"/>
      <c r="FS159" s="8"/>
      <c r="FT159" s="8"/>
      <c r="FU159" s="8"/>
      <c r="GC159" s="68">
        <f t="shared" si="349"/>
        <v>154</v>
      </c>
      <c r="GD159" s="78">
        <f t="shared" si="350"/>
        <v>0</v>
      </c>
      <c r="GE159" s="309">
        <f t="shared" si="351"/>
        <v>0.68662483214294634</v>
      </c>
      <c r="GF159" s="78">
        <f t="shared" si="352"/>
        <v>0</v>
      </c>
      <c r="GG159" s="310">
        <f t="shared" si="353"/>
        <v>0.85050746592106685</v>
      </c>
      <c r="GH159" s="78">
        <f t="shared" si="354"/>
        <v>0</v>
      </c>
      <c r="GI159" s="310">
        <f t="shared" si="355"/>
        <v>0.71666666666666667</v>
      </c>
      <c r="GJ159" s="311">
        <f t="shared" si="356"/>
        <v>0</v>
      </c>
      <c r="GK159" s="310">
        <f t="shared" si="357"/>
        <v>0.19935897435898173</v>
      </c>
      <c r="GL159" s="311">
        <f t="shared" si="358"/>
        <v>0</v>
      </c>
      <c r="GM159" s="310">
        <f t="shared" si="359"/>
        <v>0.66570832715561246</v>
      </c>
      <c r="HD159" s="13"/>
      <c r="HE159" s="24"/>
      <c r="HF159" s="13"/>
      <c r="HG159" s="14"/>
      <c r="HH159" s="13"/>
      <c r="HI159" s="13"/>
      <c r="HJ159" s="13"/>
      <c r="HK159" s="13"/>
      <c r="HL159" s="13"/>
      <c r="HM159" s="14"/>
      <c r="HN159" s="13"/>
      <c r="HO159" s="13"/>
    </row>
    <row r="160" spans="3:223" x14ac:dyDescent="0.2">
      <c r="C160" s="426">
        <f t="shared" si="346"/>
        <v>44075</v>
      </c>
      <c r="D160" s="155">
        <f t="shared" si="347"/>
        <v>92</v>
      </c>
      <c r="E160" s="155">
        <f t="shared" si="345"/>
        <v>12666583.5</v>
      </c>
      <c r="F160" s="155"/>
      <c r="G160" s="438">
        <f t="shared" si="348"/>
        <v>163228.55021367522</v>
      </c>
      <c r="I160" s="444">
        <f>IF(D160="","",'Mx FORECAST'!DX98)</f>
        <v>3196476.7654914651</v>
      </c>
      <c r="J160" s="155">
        <f>IF(D160="","",'Mx FORECAST'!DP98)</f>
        <v>0</v>
      </c>
      <c r="K160" s="155">
        <f>IF(D160="","",'Mx FORECAST'!DQ98)</f>
        <v>0</v>
      </c>
      <c r="M160" s="155">
        <f>IF(D160="","",'Mx FORECAST'!DR98)</f>
        <v>0</v>
      </c>
      <c r="O160" s="155">
        <f>IF(D160="","",'Mx FORECAST'!DS98)</f>
        <v>0</v>
      </c>
      <c r="Q160" s="155">
        <f>IF(D160="","",'Mx FORECAST'!DT98)</f>
        <v>0</v>
      </c>
      <c r="S160" s="155">
        <f>IF(D160="","",'Mx FORECAST'!DU98)</f>
        <v>0</v>
      </c>
      <c r="U160" s="155">
        <f>IF(D160="","",'Mx FORECAST'!DV98)</f>
        <v>0</v>
      </c>
      <c r="W160" s="540">
        <f>IF(D160="","",'Mx FORECAST'!DY98)</f>
        <v>9470106.7345085349</v>
      </c>
      <c r="X160" s="540"/>
      <c r="Y160" s="437">
        <f>IF(D160="","",'Mx FORECAST'!DZ98)</f>
        <v>0.74764491423504487</v>
      </c>
      <c r="AD160" s="155"/>
      <c r="AF160" s="155"/>
      <c r="AH160" s="155"/>
      <c r="AJ160" s="155"/>
      <c r="AK160" s="8"/>
      <c r="AL160" s="8"/>
      <c r="AM160" s="8"/>
      <c r="AN160" s="8"/>
      <c r="AO160" s="8"/>
      <c r="AP160" s="8"/>
      <c r="AQ160" s="8"/>
      <c r="AR160" s="8"/>
      <c r="AS160" s="8"/>
      <c r="AT160" s="8"/>
      <c r="AU160" s="8"/>
      <c r="AV160" s="8"/>
      <c r="AW160" s="8"/>
      <c r="AX160" s="8"/>
      <c r="AY160" s="8"/>
      <c r="AZ160" s="8"/>
      <c r="BZ160" s="9"/>
      <c r="CA160" s="9"/>
      <c r="CB160" s="9"/>
      <c r="DM160" s="44">
        <f t="shared" si="386"/>
        <v>154</v>
      </c>
      <c r="DN160" s="41">
        <f t="shared" si="360"/>
        <v>12759925.5</v>
      </c>
      <c r="DO160" s="41">
        <f t="shared" si="387"/>
        <v>161835.09188034188</v>
      </c>
      <c r="DP160" s="42">
        <f t="shared" si="361"/>
        <v>0</v>
      </c>
      <c r="DQ160" s="42">
        <f t="shared" si="362"/>
        <v>0</v>
      </c>
      <c r="DR160" s="42">
        <f t="shared" si="363"/>
        <v>0</v>
      </c>
      <c r="DS160" s="42">
        <f t="shared" si="364"/>
        <v>0</v>
      </c>
      <c r="DT160" s="42">
        <f t="shared" si="365"/>
        <v>0</v>
      </c>
      <c r="DU160" s="42">
        <f t="shared" si="366"/>
        <v>0</v>
      </c>
      <c r="DV160" s="42">
        <f t="shared" si="367"/>
        <v>0</v>
      </c>
      <c r="DW160" s="42">
        <f t="shared" si="368"/>
        <v>0</v>
      </c>
      <c r="DX160" s="42">
        <f t="shared" si="369"/>
        <v>3998643.7954059988</v>
      </c>
      <c r="DY160" s="42">
        <f>IF(DM160="",DY159,DN160-SUM($DO$6:DO160)+SUM($DP$6:DV160)-SUM($DW$6:DW160))</f>
        <v>8761281.7045940012</v>
      </c>
      <c r="DZ160" s="43">
        <f t="shared" si="388"/>
        <v>0.68662483214294634</v>
      </c>
      <c r="EA160" s="43"/>
      <c r="EB160" s="43" t="str">
        <f t="shared" si="398"/>
        <v>True</v>
      </c>
      <c r="EC160" s="41">
        <f t="shared" si="389"/>
        <v>222480</v>
      </c>
      <c r="ED160" s="41">
        <f t="shared" si="390"/>
        <v>686673.49999999988</v>
      </c>
      <c r="EE160" s="41">
        <f t="shared" si="370"/>
        <v>1037621.9999999999</v>
      </c>
      <c r="EF160" s="41">
        <f t="shared" si="391"/>
        <v>12360</v>
      </c>
      <c r="EG160" s="42">
        <f t="shared" si="392"/>
        <v>9537.1319444444434</v>
      </c>
      <c r="EH160" s="42">
        <f t="shared" si="393"/>
        <v>7205.7083333333321</v>
      </c>
      <c r="EI160" s="42">
        <f t="shared" si="371"/>
        <v>123600</v>
      </c>
      <c r="EJ160" s="42">
        <f t="shared" si="372"/>
        <v>95371</v>
      </c>
      <c r="EK160" s="42">
        <f t="shared" si="373"/>
        <v>72057</v>
      </c>
      <c r="EL160" s="42">
        <f>IF(DM160="","",EC160-SUM($EF$6:EF160)+SUM($DP$6:DP160))</f>
        <v>98880.000000001863</v>
      </c>
      <c r="EM160" s="42">
        <f>IF(DM160="","",ED160-SUM($EG$6:EG160)+SUM($DQ$6:DQ160))</f>
        <v>591302.1805555512</v>
      </c>
      <c r="EN160" s="42">
        <f>IF(DM160="","",EE160-SUM($EH$6:EH160)+SUM($DR$6:DR160))</f>
        <v>965564.91666666453</v>
      </c>
      <c r="EO160" s="152">
        <f t="shared" si="374"/>
        <v>0.85050746592106685</v>
      </c>
      <c r="EP160" s="43"/>
      <c r="EQ160" s="42">
        <f t="shared" si="375"/>
        <v>448050</v>
      </c>
      <c r="ER160" s="42">
        <f t="shared" si="376"/>
        <v>248100</v>
      </c>
      <c r="ES160" s="42">
        <f t="shared" si="394"/>
        <v>3733.75</v>
      </c>
      <c r="ET160" s="42">
        <f t="shared" si="395"/>
        <v>6122.9807692307695</v>
      </c>
      <c r="EU160" s="42">
        <f t="shared" si="377"/>
        <v>126948</v>
      </c>
      <c r="EV160" s="42">
        <f t="shared" si="378"/>
        <v>198639</v>
      </c>
      <c r="EW160" s="42">
        <f>IF(DM160="","",IF(DS160&gt;0,DS160,EQ160-SUM($ES$6:ES160)+SUM($DS$6:DS160)))</f>
        <v>321102.5</v>
      </c>
      <c r="EX160" s="42">
        <f>IF(DM160="","",IF(DT160&gt;0,DT160,ER160-SUM($ET$6:ET160)+SUM($DT$6:DT160)))</f>
        <v>49460.961538463365</v>
      </c>
      <c r="EY160" s="43">
        <f t="shared" si="379"/>
        <v>0.19935897435898173</v>
      </c>
      <c r="EZ160" s="43">
        <f t="shared" si="380"/>
        <v>0.71666666666666667</v>
      </c>
      <c r="FA160" s="43"/>
      <c r="FB160" s="42">
        <f t="shared" si="381"/>
        <v>4935000</v>
      </c>
      <c r="FC160" s="42">
        <f t="shared" si="382"/>
        <v>5182000</v>
      </c>
      <c r="FD160" s="41">
        <f t="shared" si="396"/>
        <v>89960.9375</v>
      </c>
      <c r="FE160" s="41">
        <f t="shared" si="397"/>
        <v>32914.583333333336</v>
      </c>
      <c r="FF160" s="42">
        <f t="shared" si="383"/>
        <v>1109763</v>
      </c>
      <c r="FG160" s="42">
        <f t="shared" si="384"/>
        <v>2272266</v>
      </c>
      <c r="FH160" s="42">
        <f>IF(DM160="","",IF(DU160&gt;0,DU160,FB160-SUM($FD$6:FD160)+SUM($DU$6:DU160)))</f>
        <v>3825236.9791666642</v>
      </c>
      <c r="FI160" s="42">
        <f>IF(DM160="","",FC160-SUM($FE$6:FE160)+SUM($DV$6:DV160)-SUM($DW$6:DW160))</f>
        <v>2909734.166666667</v>
      </c>
      <c r="FJ160" s="152">
        <f t="shared" si="385"/>
        <v>0.66570832715561246</v>
      </c>
      <c r="FN160" s="8"/>
      <c r="FO160" s="8"/>
      <c r="FP160" s="8"/>
      <c r="FQ160" s="8"/>
      <c r="FR160" s="8"/>
      <c r="FS160" s="8"/>
      <c r="FT160" s="8"/>
      <c r="FU160" s="8"/>
      <c r="GC160" s="68">
        <f t="shared" si="349"/>
        <v>155</v>
      </c>
      <c r="GD160" s="78">
        <f t="shared" si="350"/>
        <v>0</v>
      </c>
      <c r="GE160" s="309">
        <f t="shared" si="351"/>
        <v>0.67394175716101645</v>
      </c>
      <c r="GF160" s="78">
        <f t="shared" si="352"/>
        <v>0</v>
      </c>
      <c r="GG160" s="310">
        <f t="shared" si="353"/>
        <v>0.83555821251317375</v>
      </c>
      <c r="GH160" s="78">
        <f t="shared" si="354"/>
        <v>0</v>
      </c>
      <c r="GI160" s="310">
        <f t="shared" si="355"/>
        <v>0.70833333333333337</v>
      </c>
      <c r="GJ160" s="311">
        <f t="shared" si="356"/>
        <v>0</v>
      </c>
      <c r="GK160" s="310">
        <f t="shared" si="357"/>
        <v>0.17467948717949461</v>
      </c>
      <c r="GL160" s="311">
        <f t="shared" si="358"/>
        <v>0</v>
      </c>
      <c r="GM160" s="310">
        <f t="shared" si="359"/>
        <v>0.65356287684096059</v>
      </c>
      <c r="HD160" s="13"/>
      <c r="HE160" s="24"/>
      <c r="HF160" s="13"/>
      <c r="HG160" s="14"/>
      <c r="HH160" s="13"/>
      <c r="HI160" s="13"/>
      <c r="HJ160" s="13"/>
      <c r="HK160" s="13"/>
      <c r="HL160" s="13"/>
      <c r="HM160" s="14"/>
      <c r="HN160" s="13"/>
      <c r="HO160" s="13"/>
    </row>
    <row r="161" spans="3:223" x14ac:dyDescent="0.2">
      <c r="C161" s="426">
        <f t="shared" si="346"/>
        <v>44105</v>
      </c>
      <c r="D161" s="155">
        <f t="shared" si="347"/>
        <v>93</v>
      </c>
      <c r="E161" s="155">
        <f t="shared" si="345"/>
        <v>12666583.5</v>
      </c>
      <c r="F161" s="155"/>
      <c r="G161" s="438">
        <f t="shared" si="348"/>
        <v>163228.55021367522</v>
      </c>
      <c r="I161" s="444">
        <f>IF(D161="","",'Mx FORECAST'!DX99)</f>
        <v>3359705.3157051411</v>
      </c>
      <c r="J161" s="155">
        <f>IF(D161="","",'Mx FORECAST'!DP99)</f>
        <v>0</v>
      </c>
      <c r="K161" s="155">
        <f>IF(D161="","",'Mx FORECAST'!DQ99)</f>
        <v>0</v>
      </c>
      <c r="M161" s="155">
        <f>IF(D161="","",'Mx FORECAST'!DR99)</f>
        <v>0</v>
      </c>
      <c r="O161" s="155">
        <f>IF(D161="","",'Mx FORECAST'!DS99)</f>
        <v>0</v>
      </c>
      <c r="Q161" s="155">
        <f>IF(D161="","",'Mx FORECAST'!DT99)</f>
        <v>0</v>
      </c>
      <c r="S161" s="155">
        <f>IF(D161="","",'Mx FORECAST'!DU99)</f>
        <v>0</v>
      </c>
      <c r="U161" s="155">
        <f>IF(D161="","",'Mx FORECAST'!DV99)</f>
        <v>0</v>
      </c>
      <c r="W161" s="540">
        <f>IF(D161="","",'Mx FORECAST'!DY99)</f>
        <v>9306878.1842948589</v>
      </c>
      <c r="X161" s="540"/>
      <c r="Y161" s="437">
        <f>IF(D161="","",'Mx FORECAST'!DZ99)</f>
        <v>0.73475836513412307</v>
      </c>
      <c r="AD161" s="155"/>
      <c r="AF161" s="155"/>
      <c r="AH161" s="155"/>
      <c r="AJ161" s="155"/>
      <c r="AK161" s="8"/>
      <c r="AL161" s="8"/>
      <c r="AM161" s="8"/>
      <c r="AN161" s="8"/>
      <c r="AO161" s="8"/>
      <c r="AP161" s="8"/>
      <c r="AQ161" s="8"/>
      <c r="AR161" s="8"/>
      <c r="AS161" s="8"/>
      <c r="AT161" s="8"/>
      <c r="AU161" s="8"/>
      <c r="AV161" s="8"/>
      <c r="AW161" s="8"/>
      <c r="AX161" s="8"/>
      <c r="AY161" s="8"/>
      <c r="AZ161" s="8"/>
      <c r="BZ161" s="9"/>
      <c r="CA161" s="9"/>
      <c r="CB161" s="9"/>
      <c r="DM161" s="44">
        <f t="shared" si="386"/>
        <v>155</v>
      </c>
      <c r="DN161" s="41">
        <f t="shared" si="360"/>
        <v>12759925.5</v>
      </c>
      <c r="DO161" s="41">
        <f t="shared" si="387"/>
        <v>161835.09188034188</v>
      </c>
      <c r="DP161" s="42">
        <f t="shared" si="361"/>
        <v>0</v>
      </c>
      <c r="DQ161" s="42">
        <f t="shared" si="362"/>
        <v>0</v>
      </c>
      <c r="DR161" s="42">
        <f t="shared" si="363"/>
        <v>0</v>
      </c>
      <c r="DS161" s="42">
        <f t="shared" si="364"/>
        <v>0</v>
      </c>
      <c r="DT161" s="42">
        <f t="shared" si="365"/>
        <v>0</v>
      </c>
      <c r="DU161" s="42">
        <f t="shared" si="366"/>
        <v>0</v>
      </c>
      <c r="DV161" s="42">
        <f t="shared" si="367"/>
        <v>0</v>
      </c>
      <c r="DW161" s="42">
        <f t="shared" si="368"/>
        <v>0</v>
      </c>
      <c r="DX161" s="42">
        <f t="shared" si="369"/>
        <v>4160478.887286339</v>
      </c>
      <c r="DY161" s="42">
        <f>IF(DM161="",DY160,DN161-SUM($DO$6:DO161)+SUM($DP$6:DV161)-SUM($DW$6:DW161))</f>
        <v>8599446.612713661</v>
      </c>
      <c r="DZ161" s="43">
        <f t="shared" si="388"/>
        <v>0.67394175716101645</v>
      </c>
      <c r="EA161" s="43"/>
      <c r="EB161" s="43" t="str">
        <f t="shared" si="398"/>
        <v>True</v>
      </c>
      <c r="EC161" s="41">
        <f t="shared" si="389"/>
        <v>222480</v>
      </c>
      <c r="ED161" s="41">
        <f t="shared" si="390"/>
        <v>686673.49999999988</v>
      </c>
      <c r="EE161" s="41">
        <f t="shared" si="370"/>
        <v>1037621.9999999999</v>
      </c>
      <c r="EF161" s="41">
        <f t="shared" si="391"/>
        <v>12360</v>
      </c>
      <c r="EG161" s="42">
        <f t="shared" si="392"/>
        <v>9537.1319444444434</v>
      </c>
      <c r="EH161" s="42">
        <f t="shared" si="393"/>
        <v>7205.7083333333321</v>
      </c>
      <c r="EI161" s="42">
        <f t="shared" si="371"/>
        <v>135960</v>
      </c>
      <c r="EJ161" s="42">
        <f t="shared" si="372"/>
        <v>104908</v>
      </c>
      <c r="EK161" s="42">
        <f t="shared" si="373"/>
        <v>79263</v>
      </c>
      <c r="EL161" s="42">
        <f>IF(DM161="","",EC161-SUM($EF$6:EF161)+SUM($DP$6:DP161))</f>
        <v>86520.000000001863</v>
      </c>
      <c r="EM161" s="42">
        <f>IF(DM161="","",ED161-SUM($EG$6:EG161)+SUM($DQ$6:DQ161))</f>
        <v>581765.0486111067</v>
      </c>
      <c r="EN161" s="42">
        <f>IF(DM161="","",EE161-SUM($EH$6:EH161)+SUM($DR$6:DR161))</f>
        <v>958359.20833333116</v>
      </c>
      <c r="EO161" s="152">
        <f t="shared" si="374"/>
        <v>0.83555821251317375</v>
      </c>
      <c r="EP161" s="43"/>
      <c r="EQ161" s="42">
        <f t="shared" si="375"/>
        <v>448050</v>
      </c>
      <c r="ER161" s="42">
        <f t="shared" si="376"/>
        <v>248100</v>
      </c>
      <c r="ES161" s="42">
        <f t="shared" si="394"/>
        <v>3733.75</v>
      </c>
      <c r="ET161" s="42">
        <f t="shared" si="395"/>
        <v>6122.9807692307695</v>
      </c>
      <c r="EU161" s="42">
        <f t="shared" si="377"/>
        <v>130681</v>
      </c>
      <c r="EV161" s="42">
        <f t="shared" si="378"/>
        <v>204762</v>
      </c>
      <c r="EW161" s="42">
        <f>IF(DM161="","",IF(DS161&gt;0,DS161,EQ161-SUM($ES$6:ES161)+SUM($DS$6:DS161)))</f>
        <v>317368.75</v>
      </c>
      <c r="EX161" s="42">
        <f>IF(DM161="","",IF(DT161&gt;0,DT161,ER161-SUM($ET$6:ET161)+SUM($DT$6:DT161)))</f>
        <v>43337.980769232614</v>
      </c>
      <c r="EY161" s="43">
        <f t="shared" si="379"/>
        <v>0.17467948717949461</v>
      </c>
      <c r="EZ161" s="43">
        <f t="shared" si="380"/>
        <v>0.70833333333333337</v>
      </c>
      <c r="FA161" s="43"/>
      <c r="FB161" s="42">
        <f t="shared" si="381"/>
        <v>4935000</v>
      </c>
      <c r="FC161" s="42">
        <f t="shared" si="382"/>
        <v>5182000</v>
      </c>
      <c r="FD161" s="41">
        <f t="shared" si="396"/>
        <v>89960.9375</v>
      </c>
      <c r="FE161" s="41">
        <f t="shared" si="397"/>
        <v>32914.583333333336</v>
      </c>
      <c r="FF161" s="42">
        <f t="shared" si="383"/>
        <v>1199724</v>
      </c>
      <c r="FG161" s="42">
        <f t="shared" si="384"/>
        <v>2305180</v>
      </c>
      <c r="FH161" s="42">
        <f>IF(DM161="","",IF(DU161&gt;0,DU161,FB161-SUM($FD$6:FD161)+SUM($DU$6:DU161)))</f>
        <v>3735276.0416666642</v>
      </c>
      <c r="FI161" s="42">
        <f>IF(DM161="","",FC161-SUM($FE$6:FE161)+SUM($DV$6:DV161)-SUM($DW$6:DW161))</f>
        <v>2876819.583333334</v>
      </c>
      <c r="FJ161" s="152">
        <f t="shared" si="385"/>
        <v>0.65356287684096059</v>
      </c>
      <c r="FN161" s="8"/>
      <c r="FO161" s="8"/>
      <c r="FP161" s="8"/>
      <c r="FQ161" s="8"/>
      <c r="FR161" s="8"/>
      <c r="FS161" s="8"/>
      <c r="FT161" s="8"/>
      <c r="FU161" s="8"/>
      <c r="GC161" s="68">
        <f t="shared" si="349"/>
        <v>156</v>
      </c>
      <c r="GD161" s="78">
        <f t="shared" si="350"/>
        <v>0</v>
      </c>
      <c r="GE161" s="309">
        <f t="shared" si="351"/>
        <v>0.66125868217908645</v>
      </c>
      <c r="GF161" s="78">
        <f t="shared" si="352"/>
        <v>0</v>
      </c>
      <c r="GG161" s="310">
        <f t="shared" si="353"/>
        <v>0.82060895910528053</v>
      </c>
      <c r="GH161" s="78">
        <f t="shared" si="354"/>
        <v>0</v>
      </c>
      <c r="GI161" s="310">
        <f t="shared" si="355"/>
        <v>0.7</v>
      </c>
      <c r="GJ161" s="311">
        <f t="shared" si="356"/>
        <v>0</v>
      </c>
      <c r="GK161" s="310">
        <f t="shared" si="357"/>
        <v>0.15000000000000752</v>
      </c>
      <c r="GL161" s="311">
        <f t="shared" si="358"/>
        <v>0</v>
      </c>
      <c r="GM161" s="310">
        <f t="shared" si="359"/>
        <v>0.64141742652630873</v>
      </c>
      <c r="HD161" s="13"/>
      <c r="HE161" s="24"/>
      <c r="HF161" s="13"/>
      <c r="HG161" s="14"/>
      <c r="HH161" s="13"/>
      <c r="HI161" s="13"/>
      <c r="HJ161" s="13"/>
      <c r="HK161" s="13"/>
      <c r="HL161" s="13"/>
      <c r="HM161" s="14"/>
      <c r="HN161" s="13"/>
      <c r="HO161" s="13"/>
    </row>
    <row r="162" spans="3:223" x14ac:dyDescent="0.2">
      <c r="C162" s="426">
        <f t="shared" si="346"/>
        <v>44136</v>
      </c>
      <c r="D162" s="155">
        <f t="shared" si="347"/>
        <v>94</v>
      </c>
      <c r="E162" s="155">
        <f t="shared" si="345"/>
        <v>12666583.5</v>
      </c>
      <c r="F162" s="155"/>
      <c r="G162" s="438">
        <f t="shared" si="348"/>
        <v>163228.55021367522</v>
      </c>
      <c r="I162" s="444">
        <f>IF(D162="","",'Mx FORECAST'!DX100)</f>
        <v>3522933.865918817</v>
      </c>
      <c r="J162" s="155">
        <f>IF(D162="","",'Mx FORECAST'!DP100)</f>
        <v>0</v>
      </c>
      <c r="K162" s="155">
        <f>IF(D162="","",'Mx FORECAST'!DQ100)</f>
        <v>0</v>
      </c>
      <c r="M162" s="155">
        <f>IF(D162="","",'Mx FORECAST'!DR100)</f>
        <v>0</v>
      </c>
      <c r="O162" s="155">
        <f>IF(D162="","",'Mx FORECAST'!DS100)</f>
        <v>0</v>
      </c>
      <c r="Q162" s="155">
        <f>IF(D162="","",'Mx FORECAST'!DT100)</f>
        <v>0</v>
      </c>
      <c r="S162" s="155">
        <f>IF(D162="","",'Mx FORECAST'!DU100)</f>
        <v>0</v>
      </c>
      <c r="U162" s="155">
        <f>IF(D162="","",'Mx FORECAST'!DV100)</f>
        <v>0</v>
      </c>
      <c r="W162" s="540">
        <f>IF(D162="","",'Mx FORECAST'!DY100)</f>
        <v>9143649.634081183</v>
      </c>
      <c r="X162" s="540"/>
      <c r="Y162" s="437">
        <f>IF(D162="","",'Mx FORECAST'!DZ100)</f>
        <v>0.72187181603320127</v>
      </c>
      <c r="AD162" s="155"/>
      <c r="AF162" s="155"/>
      <c r="AH162" s="155"/>
      <c r="AJ162" s="155"/>
      <c r="AK162" s="8"/>
      <c r="AL162" s="8"/>
      <c r="AM162" s="8"/>
      <c r="AN162" s="8"/>
      <c r="AO162" s="8"/>
      <c r="AP162" s="8"/>
      <c r="AQ162" s="8"/>
      <c r="AR162" s="8"/>
      <c r="AS162" s="8"/>
      <c r="AT162" s="8"/>
      <c r="AU162" s="8"/>
      <c r="AV162" s="8"/>
      <c r="AW162" s="8"/>
      <c r="AX162" s="8"/>
      <c r="AY162" s="8"/>
      <c r="AZ162" s="8"/>
      <c r="BZ162" s="9"/>
      <c r="CA162" s="9"/>
      <c r="CB162" s="9"/>
      <c r="DM162" s="44">
        <f t="shared" si="386"/>
        <v>156</v>
      </c>
      <c r="DN162" s="41">
        <f t="shared" si="360"/>
        <v>12759925.5</v>
      </c>
      <c r="DO162" s="41">
        <f t="shared" si="387"/>
        <v>161835.09188034188</v>
      </c>
      <c r="DP162" s="42">
        <f t="shared" si="361"/>
        <v>0</v>
      </c>
      <c r="DQ162" s="42">
        <f t="shared" si="362"/>
        <v>0</v>
      </c>
      <c r="DR162" s="42">
        <f t="shared" si="363"/>
        <v>0</v>
      </c>
      <c r="DS162" s="42">
        <f t="shared" si="364"/>
        <v>0</v>
      </c>
      <c r="DT162" s="42">
        <f t="shared" si="365"/>
        <v>0</v>
      </c>
      <c r="DU162" s="42">
        <f t="shared" si="366"/>
        <v>0</v>
      </c>
      <c r="DV162" s="42">
        <f t="shared" si="367"/>
        <v>0</v>
      </c>
      <c r="DW162" s="42">
        <f t="shared" si="368"/>
        <v>0</v>
      </c>
      <c r="DX162" s="42">
        <f t="shared" si="369"/>
        <v>4322313.9791666791</v>
      </c>
      <c r="DY162" s="42">
        <f>IF(DM162="",DY161,DN162-SUM($DO$6:DO162)+SUM($DP$6:DV162)-SUM($DW$6:DW162))</f>
        <v>8437611.5208333209</v>
      </c>
      <c r="DZ162" s="43">
        <f t="shared" si="388"/>
        <v>0.66125868217908645</v>
      </c>
      <c r="EA162" s="43"/>
      <c r="EB162" s="43" t="str">
        <f t="shared" si="398"/>
        <v>True</v>
      </c>
      <c r="EC162" s="41">
        <f t="shared" si="389"/>
        <v>222480</v>
      </c>
      <c r="ED162" s="41">
        <f t="shared" si="390"/>
        <v>686673.49999999988</v>
      </c>
      <c r="EE162" s="41">
        <f t="shared" si="370"/>
        <v>1037621.9999999999</v>
      </c>
      <c r="EF162" s="41">
        <f t="shared" si="391"/>
        <v>12360</v>
      </c>
      <c r="EG162" s="42">
        <f t="shared" si="392"/>
        <v>9537.1319444444434</v>
      </c>
      <c r="EH162" s="42">
        <f t="shared" si="393"/>
        <v>7205.7083333333321</v>
      </c>
      <c r="EI162" s="42">
        <f t="shared" si="371"/>
        <v>148320</v>
      </c>
      <c r="EJ162" s="42">
        <f t="shared" si="372"/>
        <v>114446</v>
      </c>
      <c r="EK162" s="42">
        <f t="shared" si="373"/>
        <v>86469</v>
      </c>
      <c r="EL162" s="42">
        <f>IF(DM162="","",EC162-SUM($EF$6:EF162)+SUM($DP$6:DP162))</f>
        <v>74160.000000001863</v>
      </c>
      <c r="EM162" s="42">
        <f>IF(DM162="","",ED162-SUM($EG$6:EG162)+SUM($DQ$6:DQ162))</f>
        <v>572227.9166666622</v>
      </c>
      <c r="EN162" s="42">
        <f>IF(DM162="","",EE162-SUM($EH$6:EH162)+SUM($DR$6:DR162))</f>
        <v>951153.49999999779</v>
      </c>
      <c r="EO162" s="152">
        <f t="shared" si="374"/>
        <v>0.82060895910528053</v>
      </c>
      <c r="EP162" s="43"/>
      <c r="EQ162" s="42">
        <f t="shared" si="375"/>
        <v>448050</v>
      </c>
      <c r="ER162" s="42">
        <f t="shared" si="376"/>
        <v>248100</v>
      </c>
      <c r="ES162" s="42">
        <f t="shared" si="394"/>
        <v>3733.75</v>
      </c>
      <c r="ET162" s="42">
        <f t="shared" si="395"/>
        <v>6122.9807692307695</v>
      </c>
      <c r="EU162" s="42">
        <f t="shared" si="377"/>
        <v>134415</v>
      </c>
      <c r="EV162" s="42">
        <f t="shared" si="378"/>
        <v>210885</v>
      </c>
      <c r="EW162" s="42">
        <f>IF(DM162="","",IF(DS162&gt;0,DS162,EQ162-SUM($ES$6:ES162)+SUM($DS$6:DS162)))</f>
        <v>313635</v>
      </c>
      <c r="EX162" s="42">
        <f>IF(DM162="","",IF(DT162&gt;0,DT162,ER162-SUM($ET$6:ET162)+SUM($DT$6:DT162)))</f>
        <v>37215.000000001863</v>
      </c>
      <c r="EY162" s="43">
        <f t="shared" si="379"/>
        <v>0.15000000000000752</v>
      </c>
      <c r="EZ162" s="43">
        <f t="shared" si="380"/>
        <v>0.7</v>
      </c>
      <c r="FA162" s="43"/>
      <c r="FB162" s="42">
        <f t="shared" si="381"/>
        <v>4935000</v>
      </c>
      <c r="FC162" s="42">
        <f t="shared" si="382"/>
        <v>5182000</v>
      </c>
      <c r="FD162" s="41">
        <f t="shared" si="396"/>
        <v>89960.9375</v>
      </c>
      <c r="FE162" s="41">
        <f t="shared" si="397"/>
        <v>32914.583333333336</v>
      </c>
      <c r="FF162" s="42">
        <f t="shared" si="383"/>
        <v>1289685</v>
      </c>
      <c r="FG162" s="42">
        <f t="shared" si="384"/>
        <v>2338095</v>
      </c>
      <c r="FH162" s="42">
        <f>IF(DM162="","",IF(DU162&gt;0,DU162,FB162-SUM($FD$6:FD162)+SUM($DU$6:DU162)))</f>
        <v>3645315.1041666642</v>
      </c>
      <c r="FI162" s="42">
        <f>IF(DM162="","",FC162-SUM($FE$6:FE162)+SUM($DV$6:DV162)-SUM($DW$6:DW162))</f>
        <v>2843905.0000000009</v>
      </c>
      <c r="FJ162" s="152">
        <f t="shared" si="385"/>
        <v>0.64141742652630873</v>
      </c>
      <c r="FN162" s="8"/>
      <c r="FO162" s="8"/>
      <c r="FP162" s="8"/>
      <c r="FQ162" s="8"/>
      <c r="FR162" s="8"/>
      <c r="FS162" s="8"/>
      <c r="FT162" s="8"/>
      <c r="FU162" s="8"/>
      <c r="GC162" s="68">
        <f t="shared" si="349"/>
        <v>157</v>
      </c>
      <c r="GD162" s="78">
        <f t="shared" si="350"/>
        <v>0</v>
      </c>
      <c r="GE162" s="309">
        <f t="shared" si="351"/>
        <v>0.64857560719715646</v>
      </c>
      <c r="GF162" s="78">
        <f t="shared" si="352"/>
        <v>0</v>
      </c>
      <c r="GG162" s="310">
        <f t="shared" si="353"/>
        <v>0.80565970569738732</v>
      </c>
      <c r="GH162" s="78">
        <f t="shared" si="354"/>
        <v>0</v>
      </c>
      <c r="GI162" s="310">
        <f t="shared" si="355"/>
        <v>0.69166666666666665</v>
      </c>
      <c r="GJ162" s="311">
        <f t="shared" si="356"/>
        <v>0</v>
      </c>
      <c r="GK162" s="310">
        <f t="shared" si="357"/>
        <v>0.1253205128205204</v>
      </c>
      <c r="GL162" s="311">
        <f t="shared" si="358"/>
        <v>0</v>
      </c>
      <c r="GM162" s="310">
        <f t="shared" si="359"/>
        <v>0.62927197621165687</v>
      </c>
      <c r="HD162" s="13"/>
      <c r="HE162" s="24"/>
      <c r="HF162" s="13"/>
      <c r="HG162" s="14"/>
      <c r="HH162" s="13"/>
      <c r="HI162" s="13"/>
      <c r="HJ162" s="13"/>
      <c r="HK162" s="13"/>
      <c r="HL162" s="13"/>
      <c r="HM162" s="14"/>
      <c r="HN162" s="13"/>
      <c r="HO162" s="13"/>
    </row>
    <row r="163" spans="3:223" x14ac:dyDescent="0.2">
      <c r="C163" s="426">
        <f t="shared" si="346"/>
        <v>44166</v>
      </c>
      <c r="D163" s="155">
        <f t="shared" si="347"/>
        <v>95</v>
      </c>
      <c r="E163" s="155">
        <f t="shared" si="345"/>
        <v>12666583.5</v>
      </c>
      <c r="F163" s="155"/>
      <c r="G163" s="438">
        <f t="shared" si="348"/>
        <v>163228.55021367522</v>
      </c>
      <c r="I163" s="444">
        <f>IF(D163="","",'Mx FORECAST'!DX101)</f>
        <v>3686162.4161324929</v>
      </c>
      <c r="J163" s="155">
        <f>IF(D163="","",'Mx FORECAST'!DP101)</f>
        <v>0</v>
      </c>
      <c r="K163" s="155">
        <f>IF(D163="","",'Mx FORECAST'!DQ101)</f>
        <v>0</v>
      </c>
      <c r="M163" s="155">
        <f>IF(D163="","",'Mx FORECAST'!DR101)</f>
        <v>0</v>
      </c>
      <c r="O163" s="155">
        <f>IF(D163="","",'Mx FORECAST'!DS101)</f>
        <v>0</v>
      </c>
      <c r="Q163" s="155">
        <f>IF(D163="","",'Mx FORECAST'!DT101)</f>
        <v>0</v>
      </c>
      <c r="S163" s="155">
        <f>IF(D163="","",'Mx FORECAST'!DU101)</f>
        <v>0</v>
      </c>
      <c r="U163" s="155">
        <f>IF(D163="","",'Mx FORECAST'!DV101)</f>
        <v>0</v>
      </c>
      <c r="W163" s="540">
        <f>IF(D163="","",'Mx FORECAST'!DY101)</f>
        <v>8980421.0838675071</v>
      </c>
      <c r="X163" s="540"/>
      <c r="Y163" s="437">
        <f>IF(D163="","",'Mx FORECAST'!DZ101)</f>
        <v>0.70898526693227948</v>
      </c>
      <c r="AD163" s="155"/>
      <c r="AF163" s="155"/>
      <c r="AH163" s="155"/>
      <c r="AJ163" s="155"/>
      <c r="AK163" s="8"/>
      <c r="AL163" s="8"/>
      <c r="AM163" s="8"/>
      <c r="AN163" s="8"/>
      <c r="AO163" s="8"/>
      <c r="AP163" s="8"/>
      <c r="AQ163" s="8"/>
      <c r="AR163" s="8"/>
      <c r="AS163" s="8"/>
      <c r="AT163" s="8"/>
      <c r="AU163" s="8"/>
      <c r="AV163" s="8"/>
      <c r="AW163" s="8"/>
      <c r="AX163" s="8"/>
      <c r="AY163" s="8"/>
      <c r="AZ163" s="8"/>
      <c r="BZ163" s="9"/>
      <c r="CA163" s="9"/>
      <c r="CB163" s="9"/>
      <c r="DM163" s="44">
        <f t="shared" si="386"/>
        <v>157</v>
      </c>
      <c r="DN163" s="41">
        <f t="shared" si="360"/>
        <v>12759925.5</v>
      </c>
      <c r="DO163" s="41">
        <f t="shared" si="387"/>
        <v>161835.09188034188</v>
      </c>
      <c r="DP163" s="42">
        <f t="shared" si="361"/>
        <v>0</v>
      </c>
      <c r="DQ163" s="42">
        <f t="shared" si="362"/>
        <v>0</v>
      </c>
      <c r="DR163" s="42">
        <f t="shared" si="363"/>
        <v>0</v>
      </c>
      <c r="DS163" s="42">
        <f t="shared" si="364"/>
        <v>0</v>
      </c>
      <c r="DT163" s="42">
        <f t="shared" si="365"/>
        <v>0</v>
      </c>
      <c r="DU163" s="42">
        <f t="shared" si="366"/>
        <v>0</v>
      </c>
      <c r="DV163" s="42">
        <f t="shared" si="367"/>
        <v>0</v>
      </c>
      <c r="DW163" s="42">
        <f t="shared" si="368"/>
        <v>0</v>
      </c>
      <c r="DX163" s="42">
        <f t="shared" si="369"/>
        <v>4484149.0710470192</v>
      </c>
      <c r="DY163" s="42">
        <f>IF(DM163="",DY162,DN163-SUM($DO$6:DO163)+SUM($DP$6:DV163)-SUM($DW$6:DW163))</f>
        <v>8275776.4289529808</v>
      </c>
      <c r="DZ163" s="43">
        <f t="shared" si="388"/>
        <v>0.64857560719715646</v>
      </c>
      <c r="EA163" s="43"/>
      <c r="EB163" s="43" t="str">
        <f t="shared" si="398"/>
        <v>True</v>
      </c>
      <c r="EC163" s="41">
        <f t="shared" si="389"/>
        <v>222480</v>
      </c>
      <c r="ED163" s="41">
        <f t="shared" si="390"/>
        <v>686673.49999999988</v>
      </c>
      <c r="EE163" s="41">
        <f t="shared" si="370"/>
        <v>1037621.9999999999</v>
      </c>
      <c r="EF163" s="41">
        <f t="shared" si="391"/>
        <v>12360</v>
      </c>
      <c r="EG163" s="42">
        <f t="shared" si="392"/>
        <v>9537.1319444444434</v>
      </c>
      <c r="EH163" s="42">
        <f t="shared" si="393"/>
        <v>7205.7083333333321</v>
      </c>
      <c r="EI163" s="42">
        <f t="shared" si="371"/>
        <v>160680</v>
      </c>
      <c r="EJ163" s="42">
        <f t="shared" si="372"/>
        <v>123983</v>
      </c>
      <c r="EK163" s="42">
        <f t="shared" si="373"/>
        <v>93674</v>
      </c>
      <c r="EL163" s="42">
        <f>IF(DM163="","",EC163-SUM($EF$6:EF163)+SUM($DP$6:DP163))</f>
        <v>61800.000000001863</v>
      </c>
      <c r="EM163" s="42">
        <f>IF(DM163="","",ED163-SUM($EG$6:EG163)+SUM($DQ$6:DQ163))</f>
        <v>562690.78472221771</v>
      </c>
      <c r="EN163" s="42">
        <f>IF(DM163="","",EE163-SUM($EH$6:EH163)+SUM($DR$6:DR163))</f>
        <v>943947.79166666442</v>
      </c>
      <c r="EO163" s="152">
        <f t="shared" si="374"/>
        <v>0.80565970569738732</v>
      </c>
      <c r="EP163" s="43"/>
      <c r="EQ163" s="42">
        <f t="shared" si="375"/>
        <v>448050</v>
      </c>
      <c r="ER163" s="42">
        <f t="shared" si="376"/>
        <v>248100</v>
      </c>
      <c r="ES163" s="42">
        <f t="shared" si="394"/>
        <v>3733.75</v>
      </c>
      <c r="ET163" s="42">
        <f t="shared" si="395"/>
        <v>6122.9807692307695</v>
      </c>
      <c r="EU163" s="42">
        <f t="shared" si="377"/>
        <v>138149</v>
      </c>
      <c r="EV163" s="42">
        <f t="shared" si="378"/>
        <v>217008</v>
      </c>
      <c r="EW163" s="42">
        <f>IF(DM163="","",IF(DS163&gt;0,DS163,EQ163-SUM($ES$6:ES163)+SUM($DS$6:DS163)))</f>
        <v>309901.25</v>
      </c>
      <c r="EX163" s="42">
        <f>IF(DM163="","",IF(DT163&gt;0,DT163,ER163-SUM($ET$6:ET163)+SUM($DT$6:DT163)))</f>
        <v>31092.019230771111</v>
      </c>
      <c r="EY163" s="43">
        <f t="shared" si="379"/>
        <v>0.1253205128205204</v>
      </c>
      <c r="EZ163" s="43">
        <f t="shared" si="380"/>
        <v>0.69166666666666665</v>
      </c>
      <c r="FA163" s="43"/>
      <c r="FB163" s="42">
        <f t="shared" si="381"/>
        <v>4935000</v>
      </c>
      <c r="FC163" s="42">
        <f t="shared" si="382"/>
        <v>5182000</v>
      </c>
      <c r="FD163" s="41">
        <f t="shared" si="396"/>
        <v>89960.9375</v>
      </c>
      <c r="FE163" s="41">
        <f t="shared" si="397"/>
        <v>32914.583333333336</v>
      </c>
      <c r="FF163" s="42">
        <f t="shared" si="383"/>
        <v>1379646</v>
      </c>
      <c r="FG163" s="42">
        <f t="shared" si="384"/>
        <v>2371010</v>
      </c>
      <c r="FH163" s="42">
        <f>IF(DM163="","",IF(DU163&gt;0,DU163,FB163-SUM($FD$6:FD163)+SUM($DU$6:DU163)))</f>
        <v>3555354.1666666642</v>
      </c>
      <c r="FI163" s="42">
        <f>IF(DM163="","",FC163-SUM($FE$6:FE163)+SUM($DV$6:DV163)-SUM($DW$6:DW163))</f>
        <v>2810990.4166666679</v>
      </c>
      <c r="FJ163" s="152">
        <f t="shared" si="385"/>
        <v>0.62927197621165687</v>
      </c>
      <c r="FN163" s="8"/>
      <c r="FO163" s="8"/>
      <c r="FP163" s="8"/>
      <c r="FQ163" s="8"/>
      <c r="FR163" s="8"/>
      <c r="FS163" s="8"/>
      <c r="FT163" s="8"/>
      <c r="FU163" s="8"/>
      <c r="GC163" s="68">
        <f t="shared" si="349"/>
        <v>158</v>
      </c>
      <c r="GD163" s="78">
        <f t="shared" si="350"/>
        <v>0</v>
      </c>
      <c r="GE163" s="309">
        <f t="shared" si="351"/>
        <v>0.63589253221522657</v>
      </c>
      <c r="GF163" s="78">
        <f t="shared" si="352"/>
        <v>0</v>
      </c>
      <c r="GG163" s="310">
        <f t="shared" si="353"/>
        <v>0.79071045228949421</v>
      </c>
      <c r="GH163" s="78">
        <f t="shared" si="354"/>
        <v>0</v>
      </c>
      <c r="GI163" s="310">
        <f t="shared" si="355"/>
        <v>0.68333333333333335</v>
      </c>
      <c r="GJ163" s="311">
        <f t="shared" si="356"/>
        <v>0</v>
      </c>
      <c r="GK163" s="310">
        <f t="shared" si="357"/>
        <v>0.10064102564103329</v>
      </c>
      <c r="GL163" s="311">
        <f t="shared" si="358"/>
        <v>0</v>
      </c>
      <c r="GM163" s="310">
        <f t="shared" si="359"/>
        <v>0.6171265258970049</v>
      </c>
      <c r="HD163" s="13"/>
      <c r="HE163" s="24"/>
      <c r="HF163" s="13"/>
      <c r="HG163" s="14"/>
      <c r="HH163" s="13"/>
      <c r="HI163" s="13"/>
      <c r="HJ163" s="13"/>
      <c r="HK163" s="13"/>
      <c r="HL163" s="13"/>
      <c r="HM163" s="14"/>
      <c r="HN163" s="13"/>
      <c r="HO163" s="13"/>
    </row>
    <row r="164" spans="3:223" x14ac:dyDescent="0.2">
      <c r="C164" s="426">
        <f t="shared" si="346"/>
        <v>44197</v>
      </c>
      <c r="D164" s="155">
        <f t="shared" si="347"/>
        <v>96</v>
      </c>
      <c r="E164" s="155">
        <f t="shared" ref="E164:E195" si="399">IF(D164="","",DN102)</f>
        <v>12666583.5</v>
      </c>
      <c r="F164" s="155"/>
      <c r="G164" s="438">
        <f t="shared" si="348"/>
        <v>163228.55021367522</v>
      </c>
      <c r="I164" s="444">
        <f>IF(D164="","",'Mx FORECAST'!DX102)</f>
        <v>3849390.9663461689</v>
      </c>
      <c r="J164" s="155">
        <f>IF(D164="","",'Mx FORECAST'!DP102)</f>
        <v>0</v>
      </c>
      <c r="K164" s="155">
        <f>IF(D164="","",'Mx FORECAST'!DQ102)</f>
        <v>0</v>
      </c>
      <c r="M164" s="155">
        <f>IF(D164="","",'Mx FORECAST'!DR102)</f>
        <v>0</v>
      </c>
      <c r="O164" s="155">
        <f>IF(D164="","",'Mx FORECAST'!DS102)</f>
        <v>0</v>
      </c>
      <c r="Q164" s="155">
        <f>IF(D164="","",'Mx FORECAST'!DT102)</f>
        <v>0</v>
      </c>
      <c r="S164" s="155">
        <f>IF(D164="","",'Mx FORECAST'!DU102)</f>
        <v>0</v>
      </c>
      <c r="U164" s="155">
        <f>IF(D164="","",'Mx FORECAST'!DV102)</f>
        <v>0</v>
      </c>
      <c r="W164" s="540">
        <f>IF(D164="","",'Mx FORECAST'!DY102)</f>
        <v>8817192.5336538311</v>
      </c>
      <c r="X164" s="540"/>
      <c r="Y164" s="437">
        <f>IF(D164="","",'Mx FORECAST'!DZ102)</f>
        <v>0.69609871783135768</v>
      </c>
      <c r="AD164" s="155"/>
      <c r="AF164" s="155"/>
      <c r="AH164" s="155"/>
      <c r="AJ164" s="155"/>
      <c r="AK164" s="8"/>
      <c r="AL164" s="8"/>
      <c r="AM164" s="8"/>
      <c r="AN164" s="8"/>
      <c r="AO164" s="8"/>
      <c r="AP164" s="8"/>
      <c r="AQ164" s="8"/>
      <c r="AR164" s="8"/>
      <c r="AS164" s="8"/>
      <c r="AT164" s="8"/>
      <c r="AU164" s="8"/>
      <c r="AV164" s="8"/>
      <c r="AW164" s="8"/>
      <c r="AX164" s="8"/>
      <c r="AY164" s="8"/>
      <c r="AZ164" s="8"/>
      <c r="BZ164" s="9"/>
      <c r="CA164" s="9"/>
      <c r="CB164" s="9"/>
      <c r="DM164" s="44">
        <f t="shared" si="386"/>
        <v>158</v>
      </c>
      <c r="DN164" s="41">
        <f t="shared" si="360"/>
        <v>12759925.5</v>
      </c>
      <c r="DO164" s="41">
        <f t="shared" si="387"/>
        <v>161835.09188034188</v>
      </c>
      <c r="DP164" s="42">
        <f t="shared" si="361"/>
        <v>0</v>
      </c>
      <c r="DQ164" s="42">
        <f t="shared" si="362"/>
        <v>0</v>
      </c>
      <c r="DR164" s="42">
        <f t="shared" si="363"/>
        <v>0</v>
      </c>
      <c r="DS164" s="42">
        <f t="shared" si="364"/>
        <v>0</v>
      </c>
      <c r="DT164" s="42">
        <f t="shared" si="365"/>
        <v>0</v>
      </c>
      <c r="DU164" s="42">
        <f t="shared" si="366"/>
        <v>0</v>
      </c>
      <c r="DV164" s="42">
        <f t="shared" si="367"/>
        <v>0</v>
      </c>
      <c r="DW164" s="42">
        <f t="shared" si="368"/>
        <v>0</v>
      </c>
      <c r="DX164" s="42">
        <f t="shared" si="369"/>
        <v>4645984.1629273593</v>
      </c>
      <c r="DY164" s="42">
        <f>IF(DM164="",DY163,DN164-SUM($DO$6:DO164)+SUM($DP$6:DV164)-SUM($DW$6:DW164))</f>
        <v>8113941.3370726407</v>
      </c>
      <c r="DZ164" s="43">
        <f t="shared" si="388"/>
        <v>0.63589253221522657</v>
      </c>
      <c r="EA164" s="43"/>
      <c r="EB164" s="43" t="str">
        <f t="shared" si="398"/>
        <v>True</v>
      </c>
      <c r="EC164" s="41">
        <f t="shared" si="389"/>
        <v>222480</v>
      </c>
      <c r="ED164" s="41">
        <f t="shared" si="390"/>
        <v>686673.49999999988</v>
      </c>
      <c r="EE164" s="41">
        <f t="shared" si="370"/>
        <v>1037621.9999999999</v>
      </c>
      <c r="EF164" s="41">
        <f t="shared" si="391"/>
        <v>12360</v>
      </c>
      <c r="EG164" s="42">
        <f t="shared" si="392"/>
        <v>9537.1319444444434</v>
      </c>
      <c r="EH164" s="42">
        <f t="shared" si="393"/>
        <v>7205.7083333333321</v>
      </c>
      <c r="EI164" s="42">
        <f t="shared" si="371"/>
        <v>173040</v>
      </c>
      <c r="EJ164" s="42">
        <f t="shared" si="372"/>
        <v>133520</v>
      </c>
      <c r="EK164" s="42">
        <f t="shared" si="373"/>
        <v>100880</v>
      </c>
      <c r="EL164" s="42">
        <f>IF(DM164="","",EC164-SUM($EF$6:EF164)+SUM($DP$6:DP164))</f>
        <v>49440.000000001863</v>
      </c>
      <c r="EM164" s="42">
        <f>IF(DM164="","",ED164-SUM($EG$6:EG164)+SUM($DQ$6:DQ164))</f>
        <v>553153.65277777321</v>
      </c>
      <c r="EN164" s="42">
        <f>IF(DM164="","",EE164-SUM($EH$6:EH164)+SUM($DR$6:DR164))</f>
        <v>936742.08333333104</v>
      </c>
      <c r="EO164" s="152">
        <f t="shared" si="374"/>
        <v>0.79071045228949421</v>
      </c>
      <c r="EP164" s="43"/>
      <c r="EQ164" s="42">
        <f t="shared" si="375"/>
        <v>448050</v>
      </c>
      <c r="ER164" s="42">
        <f t="shared" si="376"/>
        <v>248100</v>
      </c>
      <c r="ES164" s="42">
        <f t="shared" si="394"/>
        <v>3733.75</v>
      </c>
      <c r="ET164" s="42">
        <f t="shared" si="395"/>
        <v>6122.9807692307695</v>
      </c>
      <c r="EU164" s="42">
        <f t="shared" si="377"/>
        <v>141883</v>
      </c>
      <c r="EV164" s="42">
        <f t="shared" si="378"/>
        <v>223131</v>
      </c>
      <c r="EW164" s="42">
        <f>IF(DM164="","",IF(DS164&gt;0,DS164,EQ164-SUM($ES$6:ES164)+SUM($DS$6:DS164)))</f>
        <v>306167.5</v>
      </c>
      <c r="EX164" s="42">
        <f>IF(DM164="","",IF(DT164&gt;0,DT164,ER164-SUM($ET$6:ET164)+SUM($DT$6:DT164)))</f>
        <v>24969.03846154036</v>
      </c>
      <c r="EY164" s="43">
        <f t="shared" si="379"/>
        <v>0.10064102564103329</v>
      </c>
      <c r="EZ164" s="43">
        <f t="shared" si="380"/>
        <v>0.68333333333333335</v>
      </c>
      <c r="FA164" s="43"/>
      <c r="FB164" s="42">
        <f t="shared" si="381"/>
        <v>4935000</v>
      </c>
      <c r="FC164" s="42">
        <f t="shared" si="382"/>
        <v>5182000</v>
      </c>
      <c r="FD164" s="41">
        <f t="shared" si="396"/>
        <v>89960.9375</v>
      </c>
      <c r="FE164" s="41">
        <f t="shared" si="397"/>
        <v>32914.583333333336</v>
      </c>
      <c r="FF164" s="42">
        <f t="shared" si="383"/>
        <v>1469607</v>
      </c>
      <c r="FG164" s="42">
        <f t="shared" si="384"/>
        <v>2403924</v>
      </c>
      <c r="FH164" s="42">
        <f>IF(DM164="","",IF(DU164&gt;0,DU164,FB164-SUM($FD$6:FD164)+SUM($DU$6:DU164)))</f>
        <v>3465393.2291666642</v>
      </c>
      <c r="FI164" s="42">
        <f>IF(DM164="","",FC164-SUM($FE$6:FE164)+SUM($DV$6:DV164)-SUM($DW$6:DW164))</f>
        <v>2778075.8333333349</v>
      </c>
      <c r="FJ164" s="152">
        <f t="shared" si="385"/>
        <v>0.6171265258970049</v>
      </c>
      <c r="FN164" s="8"/>
      <c r="FO164" s="8"/>
      <c r="FP164" s="8"/>
      <c r="FQ164" s="8"/>
      <c r="FR164" s="8"/>
      <c r="FS164" s="8"/>
      <c r="FT164" s="8"/>
      <c r="FU164" s="8"/>
      <c r="GC164" s="68">
        <f t="shared" si="349"/>
        <v>159</v>
      </c>
      <c r="GD164" s="78">
        <f t="shared" si="350"/>
        <v>0</v>
      </c>
      <c r="GE164" s="309">
        <f t="shared" si="351"/>
        <v>0.62320945723329657</v>
      </c>
      <c r="GF164" s="78">
        <f t="shared" si="352"/>
        <v>0</v>
      </c>
      <c r="GG164" s="310">
        <f t="shared" si="353"/>
        <v>0.77576119888160111</v>
      </c>
      <c r="GH164" s="78">
        <f t="shared" si="354"/>
        <v>0</v>
      </c>
      <c r="GI164" s="310">
        <f t="shared" si="355"/>
        <v>0.67500000000000004</v>
      </c>
      <c r="GJ164" s="311">
        <f t="shared" si="356"/>
        <v>0</v>
      </c>
      <c r="GK164" s="310">
        <f t="shared" si="357"/>
        <v>7.5961538461546185E-2</v>
      </c>
      <c r="GL164" s="311">
        <f t="shared" si="358"/>
        <v>0</v>
      </c>
      <c r="GM164" s="310">
        <f t="shared" si="359"/>
        <v>0.60498107558235303</v>
      </c>
      <c r="HD164" s="13"/>
      <c r="HE164" s="24"/>
      <c r="HF164" s="13"/>
      <c r="HG164" s="14"/>
      <c r="HH164" s="13"/>
      <c r="HI164" s="13"/>
      <c r="HJ164" s="13"/>
      <c r="HK164" s="13"/>
      <c r="HL164" s="13"/>
      <c r="HM164" s="14"/>
      <c r="HN164" s="13"/>
      <c r="HO164" s="13"/>
    </row>
    <row r="165" spans="3:223" x14ac:dyDescent="0.2">
      <c r="C165" s="426">
        <f t="shared" si="346"/>
        <v>44228</v>
      </c>
      <c r="D165" s="155">
        <f t="shared" si="347"/>
        <v>97</v>
      </c>
      <c r="E165" s="155">
        <f t="shared" si="399"/>
        <v>12666583.5</v>
      </c>
      <c r="F165" s="155"/>
      <c r="G165" s="438">
        <f t="shared" ref="G165:G196" si="400">IF(D165="","",DO103)</f>
        <v>163228.55021367522</v>
      </c>
      <c r="I165" s="444">
        <f>IF(D165="","",'Mx FORECAST'!DX103)</f>
        <v>4012619.5165598448</v>
      </c>
      <c r="J165" s="155">
        <f>IF(D165="","",'Mx FORECAST'!DP103)</f>
        <v>0</v>
      </c>
      <c r="K165" s="155">
        <f>IF(D165="","",'Mx FORECAST'!DQ103)</f>
        <v>0</v>
      </c>
      <c r="M165" s="155">
        <f>IF(D165="","",'Mx FORECAST'!DR103)</f>
        <v>0</v>
      </c>
      <c r="O165" s="155">
        <f>IF(D165="","",'Mx FORECAST'!DS103)</f>
        <v>0</v>
      </c>
      <c r="Q165" s="155">
        <f>IF(D165="","",'Mx FORECAST'!DT103)</f>
        <v>0</v>
      </c>
      <c r="S165" s="155">
        <f>IF(D165="","",'Mx FORECAST'!DU103)</f>
        <v>0</v>
      </c>
      <c r="U165" s="155">
        <f>IF(D165="","",'Mx FORECAST'!DV103)</f>
        <v>0</v>
      </c>
      <c r="W165" s="540">
        <f>IF(D165="","",'Mx FORECAST'!DY103)</f>
        <v>8653963.9834401552</v>
      </c>
      <c r="X165" s="540"/>
      <c r="Y165" s="437">
        <f>IF(D165="","",'Mx FORECAST'!DZ103)</f>
        <v>0.68321216873043589</v>
      </c>
      <c r="AD165" s="155"/>
      <c r="AF165" s="155"/>
      <c r="AH165" s="155"/>
      <c r="AJ165" s="155"/>
      <c r="AK165" s="8"/>
      <c r="AL165" s="8"/>
      <c r="AM165" s="8"/>
      <c r="AN165" s="8"/>
      <c r="AO165" s="8"/>
      <c r="AP165" s="8"/>
      <c r="AQ165" s="8"/>
      <c r="AR165" s="8"/>
      <c r="AS165" s="8"/>
      <c r="AT165" s="8"/>
      <c r="AU165" s="8"/>
      <c r="AV165" s="8"/>
      <c r="AW165" s="8"/>
      <c r="AX165" s="8"/>
      <c r="AY165" s="8"/>
      <c r="AZ165" s="8"/>
      <c r="BZ165" s="9"/>
      <c r="CA165" s="9"/>
      <c r="CB165" s="9"/>
      <c r="DM165" s="44">
        <f t="shared" si="386"/>
        <v>159</v>
      </c>
      <c r="DN165" s="41">
        <f t="shared" si="360"/>
        <v>12759925.5</v>
      </c>
      <c r="DO165" s="41">
        <f t="shared" si="387"/>
        <v>161835.09188034188</v>
      </c>
      <c r="DP165" s="42">
        <f t="shared" si="361"/>
        <v>0</v>
      </c>
      <c r="DQ165" s="42">
        <f t="shared" si="362"/>
        <v>0</v>
      </c>
      <c r="DR165" s="42">
        <f t="shared" si="363"/>
        <v>0</v>
      </c>
      <c r="DS165" s="42">
        <f t="shared" si="364"/>
        <v>0</v>
      </c>
      <c r="DT165" s="42">
        <f t="shared" si="365"/>
        <v>0</v>
      </c>
      <c r="DU165" s="42">
        <f t="shared" si="366"/>
        <v>0</v>
      </c>
      <c r="DV165" s="42">
        <f t="shared" si="367"/>
        <v>0</v>
      </c>
      <c r="DW165" s="42">
        <f t="shared" si="368"/>
        <v>0</v>
      </c>
      <c r="DX165" s="42">
        <f t="shared" si="369"/>
        <v>4807819.2548076995</v>
      </c>
      <c r="DY165" s="42">
        <f>IF(DM165="",DY164,DN165-SUM($DO$6:DO165)+SUM($DP$6:DV165)-SUM($DW$6:DW165))</f>
        <v>7952106.2451923005</v>
      </c>
      <c r="DZ165" s="43">
        <f t="shared" si="388"/>
        <v>0.62320945723329657</v>
      </c>
      <c r="EA165" s="43"/>
      <c r="EB165" s="43" t="str">
        <f t="shared" si="398"/>
        <v>True</v>
      </c>
      <c r="EC165" s="41">
        <f t="shared" si="389"/>
        <v>222480</v>
      </c>
      <c r="ED165" s="41">
        <f t="shared" si="390"/>
        <v>686673.49999999988</v>
      </c>
      <c r="EE165" s="41">
        <f t="shared" si="370"/>
        <v>1037621.9999999999</v>
      </c>
      <c r="EF165" s="41">
        <f t="shared" si="391"/>
        <v>12360</v>
      </c>
      <c r="EG165" s="42">
        <f t="shared" si="392"/>
        <v>9537.1319444444434</v>
      </c>
      <c r="EH165" s="42">
        <f t="shared" si="393"/>
        <v>7205.7083333333321</v>
      </c>
      <c r="EI165" s="42">
        <f t="shared" si="371"/>
        <v>185400</v>
      </c>
      <c r="EJ165" s="42">
        <f t="shared" si="372"/>
        <v>143057</v>
      </c>
      <c r="EK165" s="42">
        <f t="shared" si="373"/>
        <v>108086</v>
      </c>
      <c r="EL165" s="42">
        <f>IF(DM165="","",EC165-SUM($EF$6:EF165)+SUM($DP$6:DP165))</f>
        <v>37080.000000001863</v>
      </c>
      <c r="EM165" s="42">
        <f>IF(DM165="","",ED165-SUM($EG$6:EG165)+SUM($DQ$6:DQ165))</f>
        <v>543616.52083332872</v>
      </c>
      <c r="EN165" s="42">
        <f>IF(DM165="","",EE165-SUM($EH$6:EH165)+SUM($DR$6:DR165))</f>
        <v>929536.37499999767</v>
      </c>
      <c r="EO165" s="152">
        <f t="shared" si="374"/>
        <v>0.77576119888160111</v>
      </c>
      <c r="EP165" s="43"/>
      <c r="EQ165" s="42">
        <f t="shared" si="375"/>
        <v>448050</v>
      </c>
      <c r="ER165" s="42">
        <f t="shared" si="376"/>
        <v>248100</v>
      </c>
      <c r="ES165" s="42">
        <f t="shared" si="394"/>
        <v>3733.75</v>
      </c>
      <c r="ET165" s="42">
        <f t="shared" si="395"/>
        <v>6122.9807692307695</v>
      </c>
      <c r="EU165" s="42">
        <f t="shared" si="377"/>
        <v>145616</v>
      </c>
      <c r="EV165" s="42">
        <f t="shared" si="378"/>
        <v>229254</v>
      </c>
      <c r="EW165" s="42">
        <f>IF(DM165="","",IF(DS165&gt;0,DS165,EQ165-SUM($ES$6:ES165)+SUM($DS$6:DS165)))</f>
        <v>302433.75</v>
      </c>
      <c r="EX165" s="42">
        <f>IF(DM165="","",IF(DT165&gt;0,DT165,ER165-SUM($ET$6:ET165)+SUM($DT$6:DT165)))</f>
        <v>18846.057692309609</v>
      </c>
      <c r="EY165" s="43">
        <f t="shared" si="379"/>
        <v>7.5961538461546185E-2</v>
      </c>
      <c r="EZ165" s="43">
        <f t="shared" si="380"/>
        <v>0.67500000000000004</v>
      </c>
      <c r="FA165" s="43"/>
      <c r="FB165" s="42">
        <f t="shared" si="381"/>
        <v>4935000</v>
      </c>
      <c r="FC165" s="42">
        <f t="shared" si="382"/>
        <v>5182000</v>
      </c>
      <c r="FD165" s="41">
        <f t="shared" si="396"/>
        <v>89960.9375</v>
      </c>
      <c r="FE165" s="41">
        <f t="shared" si="397"/>
        <v>32914.583333333336</v>
      </c>
      <c r="FF165" s="42">
        <f t="shared" si="383"/>
        <v>1559568</v>
      </c>
      <c r="FG165" s="42">
        <f t="shared" si="384"/>
        <v>2436839</v>
      </c>
      <c r="FH165" s="42">
        <f>IF(DM165="","",IF(DU165&gt;0,DU165,FB165-SUM($FD$6:FD165)+SUM($DU$6:DU165)))</f>
        <v>3375432.2916666642</v>
      </c>
      <c r="FI165" s="42">
        <f>IF(DM165="","",FC165-SUM($FE$6:FE165)+SUM($DV$6:DV165)-SUM($DW$6:DW165))</f>
        <v>2745161.2500000019</v>
      </c>
      <c r="FJ165" s="152">
        <f t="shared" si="385"/>
        <v>0.60498107558235303</v>
      </c>
      <c r="FN165" s="8"/>
      <c r="FO165" s="8"/>
      <c r="FP165" s="8"/>
      <c r="FQ165" s="8"/>
      <c r="FR165" s="8"/>
      <c r="FS165" s="8"/>
      <c r="FT165" s="8"/>
      <c r="FU165" s="8"/>
      <c r="GC165" s="68">
        <f t="shared" ref="GC165:GC185" si="401">DM166</f>
        <v>160</v>
      </c>
      <c r="GD165" s="78">
        <f t="shared" ref="GD165:GD185" si="402">IF(DM166="","",SUM(DP166:DV166))</f>
        <v>0</v>
      </c>
      <c r="GE165" s="309">
        <f t="shared" ref="GE165:GE185" si="403">IF(DM166="",DZ166,DZ166)</f>
        <v>0.61052638225136657</v>
      </c>
      <c r="GF165" s="78">
        <f t="shared" ref="GF165:GF185" si="404">IF(DM166="","",SUM(DP166:DR166))</f>
        <v>0</v>
      </c>
      <c r="GG165" s="310">
        <f t="shared" ref="GG165:GG185" si="405">IF(DM166="",GG164,EO166)</f>
        <v>0.76081194547370801</v>
      </c>
      <c r="GH165" s="78">
        <f t="shared" ref="GH165:GH185" si="406">IF(DM166="","",DS166)</f>
        <v>0</v>
      </c>
      <c r="GI165" s="310">
        <f t="shared" ref="GI165:GI185" si="407">IF(DM166="",GI164,EZ166)</f>
        <v>0.66666666666666663</v>
      </c>
      <c r="GJ165" s="311">
        <f t="shared" ref="GJ165:GJ185" si="408">IF(DM166="","",DT166)</f>
        <v>0</v>
      </c>
      <c r="GK165" s="310">
        <f t="shared" ref="GK165:GK185" si="409">IF(DM166="",GK164,EY166)</f>
        <v>5.128205128205908E-2</v>
      </c>
      <c r="GL165" s="311">
        <f t="shared" ref="GL165:GL185" si="410">IF(DM166="","",SUM(DU166:DV166))</f>
        <v>0</v>
      </c>
      <c r="GM165" s="310">
        <f t="shared" ref="GM165:GM185" si="411">IF(DM166="",GM164,FJ166)</f>
        <v>0.59283562526770117</v>
      </c>
      <c r="HD165" s="13"/>
      <c r="HE165" s="24"/>
      <c r="HF165" s="13"/>
      <c r="HG165" s="14"/>
      <c r="HH165" s="13"/>
      <c r="HI165" s="13"/>
      <c r="HJ165" s="13"/>
      <c r="HK165" s="13"/>
      <c r="HL165" s="13"/>
      <c r="HM165" s="14"/>
      <c r="HN165" s="13"/>
      <c r="HO165" s="13"/>
    </row>
    <row r="166" spans="3:223" x14ac:dyDescent="0.2">
      <c r="C166" s="426">
        <f t="shared" si="346"/>
        <v>44256</v>
      </c>
      <c r="D166" s="155">
        <f t="shared" si="347"/>
        <v>98</v>
      </c>
      <c r="E166" s="155">
        <f t="shared" si="399"/>
        <v>12666583.5</v>
      </c>
      <c r="F166" s="155"/>
      <c r="G166" s="438">
        <f t="shared" si="400"/>
        <v>163228.55021367522</v>
      </c>
      <c r="I166" s="444">
        <f>IF(D166="","",'Mx FORECAST'!DX104)</f>
        <v>4175848.0667735208</v>
      </c>
      <c r="J166" s="155">
        <f>IF(D166="","",'Mx FORECAST'!DP104)</f>
        <v>0</v>
      </c>
      <c r="K166" s="155">
        <f>IF(D166="","",'Mx FORECAST'!DQ104)</f>
        <v>0</v>
      </c>
      <c r="M166" s="155">
        <f>IF(D166="","",'Mx FORECAST'!DR104)</f>
        <v>0</v>
      </c>
      <c r="O166" s="155">
        <f>IF(D166="","",'Mx FORECAST'!DS104)</f>
        <v>0</v>
      </c>
      <c r="Q166" s="155">
        <f>IF(D166="","",'Mx FORECAST'!DT104)</f>
        <v>0</v>
      </c>
      <c r="S166" s="155">
        <f>IF(D166="","",'Mx FORECAST'!DU104)</f>
        <v>0</v>
      </c>
      <c r="U166" s="155">
        <f>IF(D166="","",'Mx FORECAST'!DV104)</f>
        <v>0</v>
      </c>
      <c r="W166" s="540">
        <f>IF(D166="","",'Mx FORECAST'!DY104)</f>
        <v>8490735.4332264792</v>
      </c>
      <c r="X166" s="540"/>
      <c r="Y166" s="437">
        <f>IF(D166="","",'Mx FORECAST'!DZ104)</f>
        <v>0.67032561962951409</v>
      </c>
      <c r="AD166" s="155"/>
      <c r="AF166" s="155"/>
      <c r="AH166" s="155"/>
      <c r="AJ166" s="155"/>
      <c r="AK166" s="8"/>
      <c r="AL166" s="8"/>
      <c r="AM166" s="8"/>
      <c r="AN166" s="8"/>
      <c r="AO166" s="8"/>
      <c r="AP166" s="8"/>
      <c r="AQ166" s="8"/>
      <c r="AR166" s="8"/>
      <c r="AS166" s="8"/>
      <c r="AT166" s="8"/>
      <c r="AU166" s="8"/>
      <c r="AV166" s="8"/>
      <c r="AW166" s="8"/>
      <c r="AX166" s="8"/>
      <c r="AY166" s="8"/>
      <c r="AZ166" s="8"/>
      <c r="BZ166" s="9"/>
      <c r="CA166" s="9"/>
      <c r="CB166" s="9"/>
      <c r="DM166" s="44">
        <f t="shared" si="386"/>
        <v>160</v>
      </c>
      <c r="DN166" s="41">
        <f t="shared" ref="DN166:DN186" si="412">IF(DM166="","",SUM(EC166:EE166)+SUM(EQ166:ER166)+SUM(FB166:FC166))</f>
        <v>12759925.5</v>
      </c>
      <c r="DO166" s="41">
        <f t="shared" si="387"/>
        <v>161835.09188034188</v>
      </c>
      <c r="DP166" s="42">
        <f t="shared" ref="DP166:DP186" si="413">IF(DM166="","",IF(ISNA(VLOOKUP(DM166,$GS$4:$GU$13,3,FALSE)),0,VLOOKUP(DM166,$GS$4:$GU$13,3,FALSE)))</f>
        <v>0</v>
      </c>
      <c r="DQ166" s="42">
        <f t="shared" ref="DQ166:DQ186" si="414">IF(DM166="","",IF(ISNA(VLOOKUP(DM166,$GS$14:$GU$15,3,FALSE)),0,VLOOKUP(DM166,$GS$14:$GU$15,3,FALSE)))</f>
        <v>0</v>
      </c>
      <c r="DR166" s="42">
        <f t="shared" ref="DR166:DR186" si="415">IF(DM166="","",IF(ISNA(VLOOKUP(DM166,$GS$16:$GU$16,3,FALSE)),0,VLOOKUP(DM166,$GS$16:$GU$16,3,FALSE)))</f>
        <v>0</v>
      </c>
      <c r="DS166" s="42">
        <f t="shared" ref="DS166:DS186" si="416">IF(DM166="","",IF(ISNA(VLOOKUP(DM166,$GS$17:$GU$19,3,FALSE)),0,VLOOKUP(DM166,$GS$17:$GU$19,3,FALSE)))</f>
        <v>0</v>
      </c>
      <c r="DT166" s="42">
        <f t="shared" ref="DT166:DT186" si="417">IF(DM166="","",IF(ISNA(VLOOKUP(DM166,$GS$20:$GU$28,3,FALSE)),0,VLOOKUP(DM166,$GS$20:$GU$28,3,FALSE)))</f>
        <v>0</v>
      </c>
      <c r="DU166" s="42">
        <f t="shared" ref="DU166:DU186" si="418">IF(DM166="","",IF(ISNA(VLOOKUP(DM166,$GS$30:$GW$44,3,FALSE)),0,VLOOKUP(DM166,$GS$30:$GW$44,3,FALSE)))</f>
        <v>0</v>
      </c>
      <c r="DV166" s="42">
        <f t="shared" ref="DV166:DV186" si="419">IF(DM166="","",IF(ISNA(VLOOKUP(DM166,$GS$30:$GW$44,4,FALSE)),0,VLOOKUP(DM166,$GS$30:$GW$44,4,FALSE)))</f>
        <v>0</v>
      </c>
      <c r="DW166" s="42">
        <f t="shared" ref="DW166:DW186" si="420">IF(DM166="","",IF(ISNA(VLOOKUP(DM166,$GS$30:$GW$44,5,FALSE)),0,VLOOKUP(DM166,$GS$30:$GW$44,5,FALSE)))</f>
        <v>0</v>
      </c>
      <c r="DX166" s="42">
        <f t="shared" ref="DX166:DX186" si="421">IF(DM166="","",DN166-DY166)</f>
        <v>4969654.3466880396</v>
      </c>
      <c r="DY166" s="42">
        <f>IF(DM166="",DY165,DN166-SUM($DO$6:DO166)+SUM($DP$6:DV166)-SUM($DW$6:DW166))</f>
        <v>7790271.1533119604</v>
      </c>
      <c r="DZ166" s="43">
        <f t="shared" si="388"/>
        <v>0.61052638225136657</v>
      </c>
      <c r="EA166" s="43"/>
      <c r="EB166" s="43" t="str">
        <f t="shared" si="398"/>
        <v>True</v>
      </c>
      <c r="EC166" s="41">
        <f t="shared" si="389"/>
        <v>222480</v>
      </c>
      <c r="ED166" s="41">
        <f t="shared" si="390"/>
        <v>686673.49999999988</v>
      </c>
      <c r="EE166" s="41">
        <f t="shared" ref="EE166:EE186" si="422">IF(DM166="","",IF(DM166&lt;=$DI$9,$DF$9,$DF$20))</f>
        <v>1037621.9999999999</v>
      </c>
      <c r="EF166" s="41">
        <f t="shared" si="391"/>
        <v>12360</v>
      </c>
      <c r="EG166" s="42">
        <f t="shared" si="392"/>
        <v>9537.1319444444434</v>
      </c>
      <c r="EH166" s="42">
        <f t="shared" si="393"/>
        <v>7205.7083333333321</v>
      </c>
      <c r="EI166" s="42">
        <f t="shared" ref="EI166:EI186" si="423">IF(DM166="","",ROUND(EC166-EL166,0))</f>
        <v>197760</v>
      </c>
      <c r="EJ166" s="42">
        <f t="shared" ref="EJ166:EJ186" si="424">IF(DM166="","",ROUND(ED166-EM166,0))</f>
        <v>152594</v>
      </c>
      <c r="EK166" s="42">
        <f t="shared" ref="EK166:EK186" si="425">IF(DM166="","",ROUND(EE166-EN166,0))</f>
        <v>115291</v>
      </c>
      <c r="EL166" s="42">
        <f>IF(DM166="","",EC166-SUM($EF$6:EF166)+SUM($DP$6:DP166))</f>
        <v>24720.000000001863</v>
      </c>
      <c r="EM166" s="42">
        <f>IF(DM166="","",ED166-SUM($EG$6:EG166)+SUM($DQ$6:DQ166))</f>
        <v>534079.38888888422</v>
      </c>
      <c r="EN166" s="42">
        <f>IF(DM166="","",EE166-SUM($EH$6:EH166)+SUM($DR$6:DR166))</f>
        <v>922330.6666666643</v>
      </c>
      <c r="EO166" s="152">
        <f t="shared" ref="EO166:EO186" si="426">IF(DM166="","",SUM(EL166:EN166)/SUM(EC166:EE166))</f>
        <v>0.76081194547370801</v>
      </c>
      <c r="EP166" s="43"/>
      <c r="EQ166" s="42">
        <f t="shared" ref="EQ166:EQ186" si="427">IF(DM166="","",$DF$10)</f>
        <v>448050</v>
      </c>
      <c r="ER166" s="42">
        <f t="shared" ref="ER166:ER186" si="428">IF(DM166="","",$DF$11)</f>
        <v>248100</v>
      </c>
      <c r="ES166" s="42">
        <f t="shared" si="394"/>
        <v>3733.75</v>
      </c>
      <c r="ET166" s="42">
        <f t="shared" si="395"/>
        <v>6122.9807692307695</v>
      </c>
      <c r="EU166" s="42">
        <f t="shared" ref="EU166:EU186" si="429">IF(DM166="","",ROUND(EQ166-EW166,0))</f>
        <v>149350</v>
      </c>
      <c r="EV166" s="42">
        <f t="shared" ref="EV166:EV186" si="430">IF(DM166="","",ROUND(ER166-EX166,0))</f>
        <v>235377</v>
      </c>
      <c r="EW166" s="42">
        <f>IF(DM166="","",IF(DS166&gt;0,DS166,EQ166-SUM($ES$6:ES166)+SUM($DS$6:DS166)))</f>
        <v>298700</v>
      </c>
      <c r="EX166" s="42">
        <f>IF(DM166="","",IF(DT166&gt;0,DT166,ER166-SUM($ET$6:ET166)+SUM($DT$6:DT166)))</f>
        <v>12723.076923078857</v>
      </c>
      <c r="EY166" s="43">
        <f t="shared" ref="EY166:EY186" si="431">IF(DM166="","",IF(EX166/ER166&gt;1,1,EX166/ER166))</f>
        <v>5.128205128205908E-2</v>
      </c>
      <c r="EZ166" s="43">
        <f t="shared" ref="EZ166:EZ186" si="432">IF(DM166="","",IF(EW166/EQ166&gt;1,1,EW166/EQ166))</f>
        <v>0.66666666666666663</v>
      </c>
      <c r="FA166" s="43"/>
      <c r="FB166" s="42">
        <f t="shared" ref="FB166:FB186" si="433">IF(DM166="","",IF(DM166&lt;=$GS$30,2*$DF$12,2*$DF$23))</f>
        <v>4935000</v>
      </c>
      <c r="FC166" s="42">
        <f t="shared" ref="FC166:FC186" si="434">IF(DM166="","",($DF$13)*2)</f>
        <v>5182000</v>
      </c>
      <c r="FD166" s="41">
        <f t="shared" si="396"/>
        <v>89960.9375</v>
      </c>
      <c r="FE166" s="41">
        <f t="shared" si="397"/>
        <v>32914.583333333336</v>
      </c>
      <c r="FF166" s="42">
        <f t="shared" ref="FF166:FF186" si="435">IF(DM166="","",ROUND(FB166-FH166,0))</f>
        <v>1649529</v>
      </c>
      <c r="FG166" s="42">
        <f t="shared" ref="FG166:FG186" si="436">IF(DM166="","",ROUND(FC166-FI166,0))</f>
        <v>2469753</v>
      </c>
      <c r="FH166" s="42">
        <f>IF(DM166="","",IF(DU166&gt;0,DU166,FB166-SUM($FD$6:FD166)+SUM($DU$6:DU166)))</f>
        <v>3285471.3541666642</v>
      </c>
      <c r="FI166" s="42">
        <f>IF(DM166="","",FC166-SUM($FE$6:FE166)+SUM($DV$6:DV166)-SUM($DW$6:DW166))</f>
        <v>2712246.6666666688</v>
      </c>
      <c r="FJ166" s="152">
        <f t="shared" ref="FJ166:FJ186" si="437">IF(DM166="","",IF((FH166+FI166)/(FB166+FC166)&gt;1,1,(FH166+FI166)/(FB166+FC166)))</f>
        <v>0.59283562526770117</v>
      </c>
      <c r="FN166" s="8"/>
      <c r="FO166" s="8"/>
      <c r="FP166" s="8"/>
      <c r="FQ166" s="8"/>
      <c r="FR166" s="8"/>
      <c r="FS166" s="8"/>
      <c r="FT166" s="8"/>
      <c r="FU166" s="8"/>
      <c r="GC166" s="68">
        <f t="shared" si="401"/>
        <v>161</v>
      </c>
      <c r="GD166" s="78">
        <f t="shared" si="402"/>
        <v>0</v>
      </c>
      <c r="GE166" s="309">
        <f t="shared" si="403"/>
        <v>0.59784330726943669</v>
      </c>
      <c r="GF166" s="78">
        <f t="shared" si="404"/>
        <v>0</v>
      </c>
      <c r="GG166" s="310">
        <f t="shared" si="405"/>
        <v>0.74586269206581479</v>
      </c>
      <c r="GH166" s="78">
        <f t="shared" si="406"/>
        <v>0</v>
      </c>
      <c r="GI166" s="310">
        <f t="shared" si="407"/>
        <v>0.65833333333333333</v>
      </c>
      <c r="GJ166" s="311">
        <f t="shared" si="408"/>
        <v>0</v>
      </c>
      <c r="GK166" s="310">
        <f t="shared" si="409"/>
        <v>2.660256410257197E-2</v>
      </c>
      <c r="GL166" s="311">
        <f t="shared" si="410"/>
        <v>0</v>
      </c>
      <c r="GM166" s="310">
        <f t="shared" si="411"/>
        <v>0.58069017495304931</v>
      </c>
      <c r="HD166" s="13"/>
      <c r="HE166" s="24"/>
      <c r="HF166" s="13"/>
      <c r="HG166" s="14"/>
      <c r="HH166" s="13"/>
      <c r="HI166" s="13"/>
      <c r="HJ166" s="13"/>
      <c r="HK166" s="13"/>
      <c r="HL166" s="13"/>
      <c r="HM166" s="14"/>
      <c r="HN166" s="13"/>
      <c r="HO166" s="13"/>
    </row>
    <row r="167" spans="3:223" x14ac:dyDescent="0.2">
      <c r="C167" s="426">
        <f t="shared" si="346"/>
        <v>44287</v>
      </c>
      <c r="D167" s="155">
        <f t="shared" si="347"/>
        <v>99</v>
      </c>
      <c r="E167" s="155">
        <f t="shared" si="399"/>
        <v>12666583.5</v>
      </c>
      <c r="F167" s="155"/>
      <c r="G167" s="438">
        <f t="shared" si="400"/>
        <v>163228.55021367522</v>
      </c>
      <c r="I167" s="444">
        <f>IF(D167="","",'Mx FORECAST'!DX105)</f>
        <v>4339076.6169871967</v>
      </c>
      <c r="J167" s="155">
        <f>IF(D167="","",'Mx FORECAST'!DP105)</f>
        <v>0</v>
      </c>
      <c r="K167" s="155">
        <f>IF(D167="","",'Mx FORECAST'!DQ105)</f>
        <v>0</v>
      </c>
      <c r="M167" s="155">
        <f>IF(D167="","",'Mx FORECAST'!DR105)</f>
        <v>0</v>
      </c>
      <c r="O167" s="155">
        <f>IF(D167="","",'Mx FORECAST'!DS105)</f>
        <v>0</v>
      </c>
      <c r="Q167" s="155">
        <f>IF(D167="","",'Mx FORECAST'!DT105)</f>
        <v>0</v>
      </c>
      <c r="S167" s="155">
        <f>IF(D167="","",'Mx FORECAST'!DU105)</f>
        <v>0</v>
      </c>
      <c r="U167" s="155">
        <f>IF(D167="","",'Mx FORECAST'!DV105)</f>
        <v>0</v>
      </c>
      <c r="W167" s="540">
        <f>IF(D167="","",'Mx FORECAST'!DY105)</f>
        <v>8327506.8830128033</v>
      </c>
      <c r="X167" s="540"/>
      <c r="Y167" s="437">
        <f>IF(D167="","",'Mx FORECAST'!DZ105)</f>
        <v>0.6574390705285923</v>
      </c>
      <c r="AD167" s="155"/>
      <c r="AF167" s="155"/>
      <c r="AH167" s="155"/>
      <c r="AJ167" s="155"/>
      <c r="AK167" s="8"/>
      <c r="AL167" s="8"/>
      <c r="AM167" s="8"/>
      <c r="AN167" s="8"/>
      <c r="AO167" s="8"/>
      <c r="AP167" s="8"/>
      <c r="AQ167" s="8"/>
      <c r="AR167" s="8"/>
      <c r="AS167" s="8"/>
      <c r="AT167" s="8"/>
      <c r="AU167" s="8"/>
      <c r="AV167" s="8"/>
      <c r="AW167" s="8"/>
      <c r="AX167" s="8"/>
      <c r="AY167" s="8"/>
      <c r="AZ167" s="8"/>
      <c r="BZ167" s="9"/>
      <c r="CA167" s="9"/>
      <c r="CB167" s="9"/>
      <c r="DM167" s="44">
        <f t="shared" ref="DM167:DM186" si="438">IF(DM166="","",IF(DM166&gt;=$FW$23,"",DM166+1))</f>
        <v>161</v>
      </c>
      <c r="DN167" s="41">
        <f t="shared" si="412"/>
        <v>12759925.5</v>
      </c>
      <c r="DO167" s="41">
        <f t="shared" ref="DO167:DO186" si="439">IF(DM167="","",SUM(EF167:EH167)+SUM(ES167:ET167)+SUM(FD167:FE167))</f>
        <v>161835.09188034188</v>
      </c>
      <c r="DP167" s="42">
        <f t="shared" si="413"/>
        <v>0</v>
      </c>
      <c r="DQ167" s="42">
        <f t="shared" si="414"/>
        <v>0</v>
      </c>
      <c r="DR167" s="42">
        <f t="shared" si="415"/>
        <v>0</v>
      </c>
      <c r="DS167" s="42">
        <f t="shared" si="416"/>
        <v>0</v>
      </c>
      <c r="DT167" s="42">
        <f t="shared" si="417"/>
        <v>0</v>
      </c>
      <c r="DU167" s="42">
        <f t="shared" si="418"/>
        <v>0</v>
      </c>
      <c r="DV167" s="42">
        <f t="shared" si="419"/>
        <v>0</v>
      </c>
      <c r="DW167" s="42">
        <f t="shared" si="420"/>
        <v>0</v>
      </c>
      <c r="DX167" s="42">
        <f t="shared" si="421"/>
        <v>5131489.4385683797</v>
      </c>
      <c r="DY167" s="42">
        <f>IF(DM167="",DY166,DN167-SUM($DO$6:DO167)+SUM($DP$6:DV167)-SUM($DW$6:DW167))</f>
        <v>7628436.0614316203</v>
      </c>
      <c r="DZ167" s="43">
        <f t="shared" ref="DZ167:DZ186" si="440">IF(DM167="",DZ166,IF(DY167/DN167&gt;1,1,DY167/DN167))</f>
        <v>0.59784330726943669</v>
      </c>
      <c r="EA167" s="43"/>
      <c r="EB167" s="43" t="str">
        <f t="shared" si="398"/>
        <v>True</v>
      </c>
      <c r="EC167" s="41">
        <f t="shared" si="389"/>
        <v>222480</v>
      </c>
      <c r="ED167" s="41">
        <f t="shared" si="390"/>
        <v>686673.49999999988</v>
      </c>
      <c r="EE167" s="41">
        <f t="shared" si="422"/>
        <v>1037621.9999999999</v>
      </c>
      <c r="EF167" s="41">
        <f t="shared" ref="EF167:EF186" si="441">IF(DM167="","",IF(AND(DM167&lt;=$DI$8,EB167="True"),$GA$4*$DK$6,IF(AND(DM167&lt;=$DI$8,EB167="False"),$GA$4*$DK$7,IF(AND(DM167&gt;$DI$8,EB167="True"),$GA$4*$DK$17,$GA$4*$DK$18))))</f>
        <v>12360</v>
      </c>
      <c r="EG167" s="42">
        <f t="shared" ref="EG167:EG186" si="442">IF(DM167="","",IF(DM167&lt;=$DI$8,$GA$4*$DK$8,$GA$4*$DK$19))</f>
        <v>9537.1319444444434</v>
      </c>
      <c r="EH167" s="42">
        <f t="shared" ref="EH167:EH186" si="443">IF(DM167="","",IF(DM167&lt;=$DI$9,$GA$4*$DK$9,$GA$4*$DK$20))</f>
        <v>7205.7083333333321</v>
      </c>
      <c r="EI167" s="42">
        <f t="shared" si="423"/>
        <v>210120</v>
      </c>
      <c r="EJ167" s="42">
        <f t="shared" si="424"/>
        <v>162131</v>
      </c>
      <c r="EK167" s="42">
        <f t="shared" si="425"/>
        <v>122497</v>
      </c>
      <c r="EL167" s="42">
        <f>IF(DM167="","",EC167-SUM($EF$6:EF167)+SUM($DP$6:DP167))</f>
        <v>12360.000000001863</v>
      </c>
      <c r="EM167" s="42">
        <f>IF(DM167="","",ED167-SUM($EG$6:EG167)+SUM($DQ$6:DQ167))</f>
        <v>524542.25694443972</v>
      </c>
      <c r="EN167" s="42">
        <f>IF(DM167="","",EE167-SUM($EH$6:EH167)+SUM($DR$6:DR167))</f>
        <v>915124.95833333093</v>
      </c>
      <c r="EO167" s="152">
        <f t="shared" si="426"/>
        <v>0.74586269206581479</v>
      </c>
      <c r="EP167" s="43"/>
      <c r="EQ167" s="42">
        <f t="shared" si="427"/>
        <v>448050</v>
      </c>
      <c r="ER167" s="42">
        <f t="shared" si="428"/>
        <v>248100</v>
      </c>
      <c r="ES167" s="42">
        <f t="shared" ref="ES167:ES186" si="444">IF(DM167="","",$GA$4*$DK$10)</f>
        <v>3733.75</v>
      </c>
      <c r="ET167" s="42">
        <f t="shared" ref="ET167:ET186" si="445">IF(DM167="","",$GA$4*$DK$11)</f>
        <v>6122.9807692307695</v>
      </c>
      <c r="EU167" s="42">
        <f t="shared" si="429"/>
        <v>153084</v>
      </c>
      <c r="EV167" s="42">
        <f t="shared" si="430"/>
        <v>241500</v>
      </c>
      <c r="EW167" s="42">
        <f>IF(DM167="","",IF(DS167&gt;0,DS167,EQ167-SUM($ES$6:ES167)+SUM($DS$6:DS167)))</f>
        <v>294966.25</v>
      </c>
      <c r="EX167" s="42">
        <f>IF(DM167="","",IF(DT167&gt;0,DT167,ER167-SUM($ET$6:ET167)+SUM($DT$6:DT167)))</f>
        <v>6600.096153848106</v>
      </c>
      <c r="EY167" s="43">
        <f t="shared" si="431"/>
        <v>2.660256410257197E-2</v>
      </c>
      <c r="EZ167" s="43">
        <f t="shared" si="432"/>
        <v>0.65833333333333333</v>
      </c>
      <c r="FA167" s="43"/>
      <c r="FB167" s="42">
        <f t="shared" si="433"/>
        <v>4935000</v>
      </c>
      <c r="FC167" s="42">
        <f t="shared" si="434"/>
        <v>5182000</v>
      </c>
      <c r="FD167" s="41">
        <f t="shared" ref="FD167:FD186" si="446">IF(DM167="","",IF(DM167&lt;=$GA$8,$GA$4*$DK$12,$GA$4*$DK$23))</f>
        <v>89960.9375</v>
      </c>
      <c r="FE167" s="41">
        <f t="shared" ref="FE167:FE186" si="447">IF(DM167="","",$GA$4*($DK$24))</f>
        <v>32914.583333333336</v>
      </c>
      <c r="FF167" s="42">
        <f t="shared" si="435"/>
        <v>1739490</v>
      </c>
      <c r="FG167" s="42">
        <f t="shared" si="436"/>
        <v>2502668</v>
      </c>
      <c r="FH167" s="42">
        <f>IF(DM167="","",IF(DU167&gt;0,DU167,FB167-SUM($FD$6:FD167)+SUM($DU$6:DU167)))</f>
        <v>3195510.4166666642</v>
      </c>
      <c r="FI167" s="42">
        <f>IF(DM167="","",FC167-SUM($FE$6:FE167)+SUM($DV$6:DV167)-SUM($DW$6:DW167))</f>
        <v>2679332.0833333358</v>
      </c>
      <c r="FJ167" s="152">
        <f t="shared" si="437"/>
        <v>0.58069017495304931</v>
      </c>
      <c r="FN167" s="8"/>
      <c r="FO167" s="8"/>
      <c r="FP167" s="8"/>
      <c r="FQ167" s="8"/>
      <c r="FR167" s="8"/>
      <c r="FS167" s="8"/>
      <c r="FT167" s="8"/>
      <c r="FU167" s="8"/>
      <c r="GC167" s="68">
        <f t="shared" si="401"/>
        <v>162</v>
      </c>
      <c r="GD167" s="78">
        <f t="shared" si="402"/>
        <v>222480</v>
      </c>
      <c r="GE167" s="309">
        <f t="shared" si="403"/>
        <v>0.60259607076477684</v>
      </c>
      <c r="GF167" s="78">
        <f t="shared" si="404"/>
        <v>222480</v>
      </c>
      <c r="GG167" s="310">
        <f t="shared" si="405"/>
        <v>0.84519472070610857</v>
      </c>
      <c r="GH167" s="78">
        <f t="shared" si="406"/>
        <v>0</v>
      </c>
      <c r="GI167" s="310">
        <f t="shared" si="407"/>
        <v>0.65</v>
      </c>
      <c r="GJ167" s="311">
        <f t="shared" si="408"/>
        <v>0</v>
      </c>
      <c r="GK167" s="310">
        <f t="shared" si="409"/>
        <v>1.9230769230848639E-3</v>
      </c>
      <c r="GL167" s="311">
        <f t="shared" si="410"/>
        <v>0</v>
      </c>
      <c r="GM167" s="310">
        <f t="shared" si="411"/>
        <v>0.56854472463839745</v>
      </c>
      <c r="HD167" s="13"/>
      <c r="HE167" s="24"/>
      <c r="HF167" s="13"/>
      <c r="HG167" s="14"/>
      <c r="HH167" s="13"/>
      <c r="HI167" s="13"/>
      <c r="HJ167" s="13"/>
      <c r="HK167" s="13"/>
      <c r="HL167" s="13"/>
      <c r="HM167" s="14"/>
      <c r="HN167" s="13"/>
      <c r="HO167" s="13"/>
    </row>
    <row r="168" spans="3:223" x14ac:dyDescent="0.2">
      <c r="C168" s="426">
        <f t="shared" si="346"/>
        <v>44317</v>
      </c>
      <c r="D168" s="155">
        <f t="shared" si="347"/>
        <v>100</v>
      </c>
      <c r="E168" s="155">
        <f t="shared" si="399"/>
        <v>12666583.5</v>
      </c>
      <c r="F168" s="155"/>
      <c r="G168" s="438">
        <f t="shared" si="400"/>
        <v>163228.55021367522</v>
      </c>
      <c r="I168" s="444">
        <f>IF(D168="","",'Mx FORECAST'!DX106)</f>
        <v>4502305.1672008727</v>
      </c>
      <c r="J168" s="155">
        <f>IF(D168="","",'Mx FORECAST'!DP106)</f>
        <v>0</v>
      </c>
      <c r="K168" s="155">
        <f>IF(D168="","",'Mx FORECAST'!DQ106)</f>
        <v>0</v>
      </c>
      <c r="M168" s="155">
        <f>IF(D168="","",'Mx FORECAST'!DR106)</f>
        <v>0</v>
      </c>
      <c r="O168" s="155">
        <f>IF(D168="","",'Mx FORECAST'!DS106)</f>
        <v>0</v>
      </c>
      <c r="Q168" s="155">
        <f>IF(D168="","",'Mx FORECAST'!DT106)</f>
        <v>0</v>
      </c>
      <c r="S168" s="155">
        <f>IF(D168="","",'Mx FORECAST'!DU106)</f>
        <v>0</v>
      </c>
      <c r="U168" s="155">
        <f>IF(D168="","",'Mx FORECAST'!DV106)</f>
        <v>0</v>
      </c>
      <c r="W168" s="540">
        <f>IF(D168="","",'Mx FORECAST'!DY106)</f>
        <v>8164278.3327991273</v>
      </c>
      <c r="X168" s="540"/>
      <c r="Y168" s="437">
        <f>IF(D168="","",'Mx FORECAST'!DZ106)</f>
        <v>0.6445525214276705</v>
      </c>
      <c r="AD168" s="155"/>
      <c r="AF168" s="155"/>
      <c r="AH168" s="155"/>
      <c r="AJ168" s="155"/>
      <c r="AK168" s="8"/>
      <c r="AL168" s="8"/>
      <c r="AM168" s="8"/>
      <c r="AN168" s="8"/>
      <c r="AO168" s="8"/>
      <c r="AP168" s="8"/>
      <c r="AQ168" s="8"/>
      <c r="AR168" s="8"/>
      <c r="AS168" s="8"/>
      <c r="AT168" s="8"/>
      <c r="AU168" s="8"/>
      <c r="AV168" s="8"/>
      <c r="AW168" s="8"/>
      <c r="AX168" s="8"/>
      <c r="AY168" s="8"/>
      <c r="AZ168" s="8"/>
      <c r="BZ168" s="9"/>
      <c r="CA168" s="9"/>
      <c r="CB168" s="9"/>
      <c r="DM168" s="44">
        <f t="shared" si="438"/>
        <v>162</v>
      </c>
      <c r="DN168" s="41">
        <f t="shared" si="412"/>
        <v>12759925.5</v>
      </c>
      <c r="DO168" s="41">
        <f t="shared" si="439"/>
        <v>161835.09188034188</v>
      </c>
      <c r="DP168" s="42">
        <f t="shared" si="413"/>
        <v>222480</v>
      </c>
      <c r="DQ168" s="42">
        <f t="shared" si="414"/>
        <v>0</v>
      </c>
      <c r="DR168" s="42">
        <f t="shared" si="415"/>
        <v>0</v>
      </c>
      <c r="DS168" s="42">
        <f t="shared" si="416"/>
        <v>0</v>
      </c>
      <c r="DT168" s="42">
        <f t="shared" si="417"/>
        <v>0</v>
      </c>
      <c r="DU168" s="42">
        <f t="shared" si="418"/>
        <v>0</v>
      </c>
      <c r="DV168" s="42">
        <f t="shared" si="419"/>
        <v>0</v>
      </c>
      <c r="DW168" s="42">
        <f t="shared" si="420"/>
        <v>0</v>
      </c>
      <c r="DX168" s="42">
        <f t="shared" si="421"/>
        <v>5070844.5304487199</v>
      </c>
      <c r="DY168" s="42">
        <f>IF(DM168="",DY167,DN168-SUM($DO$6:DO168)+SUM($DP$6:DV168)-SUM($DW$6:DW168))</f>
        <v>7689080.9695512801</v>
      </c>
      <c r="DZ168" s="43">
        <f t="shared" si="440"/>
        <v>0.60259607076477684</v>
      </c>
      <c r="EA168" s="43"/>
      <c r="EB168" s="43" t="str">
        <f t="shared" si="398"/>
        <v>True</v>
      </c>
      <c r="EC168" s="41">
        <f t="shared" si="389"/>
        <v>222480</v>
      </c>
      <c r="ED168" s="41">
        <f t="shared" si="390"/>
        <v>686673.49999999988</v>
      </c>
      <c r="EE168" s="41">
        <f t="shared" si="422"/>
        <v>1037621.9999999999</v>
      </c>
      <c r="EF168" s="41">
        <f t="shared" si="441"/>
        <v>12360</v>
      </c>
      <c r="EG168" s="42">
        <f t="shared" si="442"/>
        <v>9537.1319444444434</v>
      </c>
      <c r="EH168" s="42">
        <f t="shared" si="443"/>
        <v>7205.7083333333321</v>
      </c>
      <c r="EI168" s="42">
        <f t="shared" si="423"/>
        <v>0</v>
      </c>
      <c r="EJ168" s="42">
        <f t="shared" si="424"/>
        <v>171668</v>
      </c>
      <c r="EK168" s="42">
        <f t="shared" si="425"/>
        <v>129703</v>
      </c>
      <c r="EL168" s="42">
        <f>IF(DM168="","",EC168-SUM($EF$6:EF168)+SUM($DP$6:DP168))</f>
        <v>222480.00000000186</v>
      </c>
      <c r="EM168" s="42">
        <f>IF(DM168="","",ED168-SUM($EG$6:EG168)+SUM($DQ$6:DQ168))</f>
        <v>515005.12499999523</v>
      </c>
      <c r="EN168" s="42">
        <f>IF(DM168="","",EE168-SUM($EH$6:EH168)+SUM($DR$6:DR168))</f>
        <v>907919.24999999756</v>
      </c>
      <c r="EO168" s="152">
        <f t="shared" si="426"/>
        <v>0.84519472070610857</v>
      </c>
      <c r="EP168" s="43"/>
      <c r="EQ168" s="42">
        <f t="shared" si="427"/>
        <v>448050</v>
      </c>
      <c r="ER168" s="42">
        <f t="shared" si="428"/>
        <v>248100</v>
      </c>
      <c r="ES168" s="42">
        <f t="shared" si="444"/>
        <v>3733.75</v>
      </c>
      <c r="ET168" s="42">
        <f t="shared" si="445"/>
        <v>6122.9807692307695</v>
      </c>
      <c r="EU168" s="42">
        <f t="shared" si="429"/>
        <v>156818</v>
      </c>
      <c r="EV168" s="42">
        <f t="shared" si="430"/>
        <v>247623</v>
      </c>
      <c r="EW168" s="42">
        <f>IF(DM168="","",IF(DS168&gt;0,DS168,EQ168-SUM($ES$6:ES168)+SUM($DS$6:DS168)))</f>
        <v>291232.5</v>
      </c>
      <c r="EX168" s="42">
        <f>IF(DM168="","",IF(DT168&gt;0,DT168,ER168-SUM($ET$6:ET168)+SUM($DT$6:DT168)))</f>
        <v>477.11538461735472</v>
      </c>
      <c r="EY168" s="43">
        <f t="shared" si="431"/>
        <v>1.9230769230848639E-3</v>
      </c>
      <c r="EZ168" s="43">
        <f t="shared" si="432"/>
        <v>0.65</v>
      </c>
      <c r="FA168" s="43"/>
      <c r="FB168" s="42">
        <f t="shared" si="433"/>
        <v>4935000</v>
      </c>
      <c r="FC168" s="42">
        <f t="shared" si="434"/>
        <v>5182000</v>
      </c>
      <c r="FD168" s="41">
        <f t="shared" si="446"/>
        <v>89960.9375</v>
      </c>
      <c r="FE168" s="41">
        <f t="shared" si="447"/>
        <v>32914.583333333336</v>
      </c>
      <c r="FF168" s="42">
        <f t="shared" si="435"/>
        <v>1829451</v>
      </c>
      <c r="FG168" s="42">
        <f t="shared" si="436"/>
        <v>2535583</v>
      </c>
      <c r="FH168" s="42">
        <f>IF(DM168="","",IF(DU168&gt;0,DU168,FB168-SUM($FD$6:FD168)+SUM($DU$6:DU168)))</f>
        <v>3105549.4791666642</v>
      </c>
      <c r="FI168" s="42">
        <f>IF(DM168="","",FC168-SUM($FE$6:FE168)+SUM($DV$6:DV168)-SUM($DW$6:DW168))</f>
        <v>2646417.5000000028</v>
      </c>
      <c r="FJ168" s="152">
        <f t="shared" si="437"/>
        <v>0.56854472463839745</v>
      </c>
      <c r="FN168" s="8"/>
      <c r="FO168" s="8"/>
      <c r="FP168" s="8"/>
      <c r="FQ168" s="8"/>
      <c r="FR168" s="8"/>
      <c r="FS168" s="8"/>
      <c r="FT168" s="8"/>
      <c r="FU168" s="8"/>
      <c r="GC168" s="68">
        <f t="shared" si="401"/>
        <v>163</v>
      </c>
      <c r="GD168" s="78">
        <f t="shared" si="402"/>
        <v>0</v>
      </c>
      <c r="GE168" s="309">
        <f t="shared" si="403"/>
        <v>0.59107612712928259</v>
      </c>
      <c r="GF168" s="78">
        <f t="shared" si="404"/>
        <v>0</v>
      </c>
      <c r="GG168" s="310">
        <f t="shared" si="405"/>
        <v>0.8326571809582749</v>
      </c>
      <c r="GH168" s="78">
        <f t="shared" si="406"/>
        <v>0</v>
      </c>
      <c r="GI168" s="310">
        <f t="shared" si="407"/>
        <v>0.64166666666666672</v>
      </c>
      <c r="GJ168" s="311">
        <f t="shared" si="408"/>
        <v>0</v>
      </c>
      <c r="GK168" s="310">
        <f t="shared" si="409"/>
        <v>-2.2756410256402244E-2</v>
      </c>
      <c r="GL168" s="311">
        <f t="shared" si="410"/>
        <v>0</v>
      </c>
      <c r="GM168" s="310">
        <f t="shared" si="411"/>
        <v>0.55639927432374559</v>
      </c>
      <c r="HD168" s="13"/>
      <c r="HE168" s="24"/>
      <c r="HF168" s="13"/>
      <c r="HG168" s="14"/>
      <c r="HH168" s="13"/>
      <c r="HI168" s="13"/>
      <c r="HJ168" s="13"/>
      <c r="HK168" s="13"/>
      <c r="HL168" s="13"/>
      <c r="HM168" s="14"/>
      <c r="HN168" s="13"/>
      <c r="HO168" s="13"/>
    </row>
    <row r="169" spans="3:223" x14ac:dyDescent="0.2">
      <c r="C169" s="426">
        <f t="shared" si="346"/>
        <v>44348</v>
      </c>
      <c r="D169" s="155">
        <f t="shared" si="347"/>
        <v>101</v>
      </c>
      <c r="E169" s="155">
        <f t="shared" si="399"/>
        <v>12666583.5</v>
      </c>
      <c r="F169" s="155"/>
      <c r="G169" s="438">
        <f t="shared" si="400"/>
        <v>163228.55021367522</v>
      </c>
      <c r="I169" s="444">
        <f>IF(D169="","",'Mx FORECAST'!DX107)</f>
        <v>4665533.7174145486</v>
      </c>
      <c r="J169" s="155">
        <f>IF(D169="","",'Mx FORECAST'!DP107)</f>
        <v>0</v>
      </c>
      <c r="K169" s="155">
        <f>IF(D169="","",'Mx FORECAST'!DQ107)</f>
        <v>0</v>
      </c>
      <c r="M169" s="155">
        <f>IF(D169="","",'Mx FORECAST'!DR107)</f>
        <v>0</v>
      </c>
      <c r="O169" s="155">
        <f>IF(D169="","",'Mx FORECAST'!DS107)</f>
        <v>0</v>
      </c>
      <c r="Q169" s="155">
        <f>IF(D169="","",'Mx FORECAST'!DT107)</f>
        <v>0</v>
      </c>
      <c r="S169" s="155">
        <f>IF(D169="","",'Mx FORECAST'!DU107)</f>
        <v>0</v>
      </c>
      <c r="U169" s="155">
        <f>IF(D169="","",'Mx FORECAST'!DV107)</f>
        <v>0</v>
      </c>
      <c r="W169" s="540">
        <f>IF(D169="","",'Mx FORECAST'!DY107)</f>
        <v>8001049.7825854514</v>
      </c>
      <c r="X169" s="540"/>
      <c r="Y169" s="437">
        <f>IF(D169="","",'Mx FORECAST'!DZ107)</f>
        <v>0.6316659723267487</v>
      </c>
      <c r="AD169" s="155"/>
      <c r="AF169" s="155"/>
      <c r="AH169" s="155"/>
      <c r="AJ169" s="155"/>
      <c r="AK169" s="8"/>
      <c r="AL169" s="8"/>
      <c r="AM169" s="8"/>
      <c r="AN169" s="8"/>
      <c r="AO169" s="8"/>
      <c r="AP169" s="8"/>
      <c r="AQ169" s="8"/>
      <c r="AR169" s="8"/>
      <c r="AS169" s="8"/>
      <c r="AT169" s="8"/>
      <c r="AU169" s="8"/>
      <c r="AV169" s="8"/>
      <c r="AW169" s="8"/>
      <c r="AX169" s="8"/>
      <c r="AY169" s="8"/>
      <c r="AZ169" s="8"/>
      <c r="BZ169" s="9"/>
      <c r="CA169" s="9"/>
      <c r="CB169" s="9"/>
      <c r="DM169" s="44">
        <f t="shared" si="438"/>
        <v>163</v>
      </c>
      <c r="DN169" s="41">
        <f t="shared" si="412"/>
        <v>12801925.5</v>
      </c>
      <c r="DO169" s="41">
        <f t="shared" si="439"/>
        <v>164168.42521367522</v>
      </c>
      <c r="DP169" s="42">
        <f t="shared" si="413"/>
        <v>0</v>
      </c>
      <c r="DQ169" s="42">
        <f t="shared" si="414"/>
        <v>0</v>
      </c>
      <c r="DR169" s="42">
        <f t="shared" si="415"/>
        <v>0</v>
      </c>
      <c r="DS169" s="42">
        <f t="shared" si="416"/>
        <v>0</v>
      </c>
      <c r="DT169" s="42">
        <f t="shared" si="417"/>
        <v>0</v>
      </c>
      <c r="DU169" s="42">
        <f t="shared" si="418"/>
        <v>0</v>
      </c>
      <c r="DV169" s="42">
        <f t="shared" si="419"/>
        <v>0</v>
      </c>
      <c r="DW169" s="42">
        <f t="shared" si="420"/>
        <v>0</v>
      </c>
      <c r="DX169" s="42">
        <f t="shared" si="421"/>
        <v>5235012.9556623958</v>
      </c>
      <c r="DY169" s="42">
        <f>IF(DM169="",DY168,DN169-SUM($DO$6:DO169)+SUM($DP$6:DV169)-SUM($DW$6:DW169))</f>
        <v>7566912.5443376042</v>
      </c>
      <c r="DZ169" s="43">
        <f t="shared" si="440"/>
        <v>0.59107612712928259</v>
      </c>
      <c r="EA169" s="43"/>
      <c r="EB169" s="43" t="str">
        <f t="shared" si="398"/>
        <v>False</v>
      </c>
      <c r="EC169" s="41">
        <f t="shared" si="389"/>
        <v>264480</v>
      </c>
      <c r="ED169" s="41">
        <f t="shared" si="390"/>
        <v>686673.49999999988</v>
      </c>
      <c r="EE169" s="41">
        <f t="shared" si="422"/>
        <v>1037621.9999999999</v>
      </c>
      <c r="EF169" s="41">
        <f t="shared" si="441"/>
        <v>14693.333333333334</v>
      </c>
      <c r="EG169" s="42">
        <f t="shared" si="442"/>
        <v>9537.1319444444434</v>
      </c>
      <c r="EH169" s="42">
        <f t="shared" si="443"/>
        <v>7205.7083333333321</v>
      </c>
      <c r="EI169" s="42">
        <f t="shared" si="423"/>
        <v>14693</v>
      </c>
      <c r="EJ169" s="42">
        <f t="shared" si="424"/>
        <v>181206</v>
      </c>
      <c r="EK169" s="42">
        <f t="shared" si="425"/>
        <v>136908</v>
      </c>
      <c r="EL169" s="42">
        <f>IF(DM169="","",EC169-SUM($EF$6:EF169)+SUM($DP$6:DP169))</f>
        <v>249786.66666666861</v>
      </c>
      <c r="EM169" s="42">
        <f>IF(DM169="","",ED169-SUM($EG$6:EG169)+SUM($DQ$6:DQ169))</f>
        <v>505467.99305555073</v>
      </c>
      <c r="EN169" s="42">
        <f>IF(DM169="","",EE169-SUM($EH$6:EH169)+SUM($DR$6:DR169))</f>
        <v>900713.54166666418</v>
      </c>
      <c r="EO169" s="152">
        <f t="shared" si="426"/>
        <v>0.8326571809582749</v>
      </c>
      <c r="EP169" s="43"/>
      <c r="EQ169" s="42">
        <f t="shared" si="427"/>
        <v>448050</v>
      </c>
      <c r="ER169" s="42">
        <f t="shared" si="428"/>
        <v>248100</v>
      </c>
      <c r="ES169" s="42">
        <f t="shared" si="444"/>
        <v>3733.75</v>
      </c>
      <c r="ET169" s="42">
        <f t="shared" si="445"/>
        <v>6122.9807692307695</v>
      </c>
      <c r="EU169" s="42">
        <f t="shared" si="429"/>
        <v>160551</v>
      </c>
      <c r="EV169" s="42">
        <f t="shared" si="430"/>
        <v>253746</v>
      </c>
      <c r="EW169" s="42">
        <f>IF(DM169="","",IF(DS169&gt;0,DS169,EQ169-SUM($ES$6:ES169)+SUM($DS$6:DS169)))</f>
        <v>287498.75</v>
      </c>
      <c r="EX169" s="42">
        <f>IF(DM169="","",IF(DT169&gt;0,DT169,ER169-SUM($ET$6:ET169)+SUM($DT$6:DT169)))</f>
        <v>-5645.8653846133966</v>
      </c>
      <c r="EY169" s="43">
        <f t="shared" si="431"/>
        <v>-2.2756410256402244E-2</v>
      </c>
      <c r="EZ169" s="43">
        <f t="shared" si="432"/>
        <v>0.64166666666666672</v>
      </c>
      <c r="FA169" s="43"/>
      <c r="FB169" s="42">
        <f t="shared" si="433"/>
        <v>4935000</v>
      </c>
      <c r="FC169" s="42">
        <f t="shared" si="434"/>
        <v>5182000</v>
      </c>
      <c r="FD169" s="41">
        <f t="shared" si="446"/>
        <v>89960.9375</v>
      </c>
      <c r="FE169" s="41">
        <f t="shared" si="447"/>
        <v>32914.583333333336</v>
      </c>
      <c r="FF169" s="42">
        <f t="shared" si="435"/>
        <v>1919411</v>
      </c>
      <c r="FG169" s="42">
        <f t="shared" si="436"/>
        <v>2568497</v>
      </c>
      <c r="FH169" s="42">
        <f>IF(DM169="","",IF(DU169&gt;0,DU169,FB169-SUM($FD$6:FD169)+SUM($DU$6:DU169)))</f>
        <v>3015588.5416666642</v>
      </c>
      <c r="FI169" s="42">
        <f>IF(DM169="","",FC169-SUM($FE$6:FE169)+SUM($DV$6:DV169)-SUM($DW$6:DW169))</f>
        <v>2613502.9166666698</v>
      </c>
      <c r="FJ169" s="152">
        <f t="shared" si="437"/>
        <v>0.55639927432374559</v>
      </c>
      <c r="FN169" s="8"/>
      <c r="FO169" s="8"/>
      <c r="FP169" s="8"/>
      <c r="FQ169" s="8"/>
      <c r="FR169" s="8"/>
      <c r="FS169" s="8"/>
      <c r="FT169" s="8"/>
      <c r="FU169" s="8"/>
      <c r="GC169" s="68">
        <f t="shared" si="401"/>
        <v>164</v>
      </c>
      <c r="GD169" s="78">
        <f t="shared" si="402"/>
        <v>248100</v>
      </c>
      <c r="GE169" s="309">
        <f t="shared" si="403"/>
        <v>0.59763229516715499</v>
      </c>
      <c r="GF169" s="78">
        <f t="shared" si="404"/>
        <v>0</v>
      </c>
      <c r="GG169" s="310">
        <f t="shared" si="405"/>
        <v>0.81685038244777886</v>
      </c>
      <c r="GH169" s="78">
        <f t="shared" si="406"/>
        <v>0</v>
      </c>
      <c r="GI169" s="310">
        <f t="shared" si="407"/>
        <v>0.6333333333333333</v>
      </c>
      <c r="GJ169" s="311">
        <f t="shared" si="408"/>
        <v>248100</v>
      </c>
      <c r="GK169" s="310">
        <f t="shared" si="409"/>
        <v>1</v>
      </c>
      <c r="GL169" s="311">
        <f t="shared" si="410"/>
        <v>0</v>
      </c>
      <c r="GM169" s="310">
        <f t="shared" si="411"/>
        <v>0.54425382400909372</v>
      </c>
      <c r="HD169" s="13"/>
      <c r="HE169" s="24"/>
      <c r="HF169" s="13"/>
      <c r="HG169" s="14"/>
      <c r="HH169" s="13"/>
      <c r="HI169" s="13"/>
      <c r="HJ169" s="13"/>
      <c r="HK169" s="13"/>
      <c r="HL169" s="13"/>
      <c r="HM169" s="14"/>
      <c r="HN169" s="13"/>
      <c r="HO169" s="13"/>
    </row>
    <row r="170" spans="3:223" x14ac:dyDescent="0.2">
      <c r="C170" s="426">
        <f t="shared" si="346"/>
        <v>44378</v>
      </c>
      <c r="D170" s="155">
        <f t="shared" si="347"/>
        <v>102</v>
      </c>
      <c r="E170" s="155">
        <f t="shared" si="399"/>
        <v>12666583.5</v>
      </c>
      <c r="F170" s="155"/>
      <c r="G170" s="438">
        <f t="shared" si="400"/>
        <v>163228.55021367522</v>
      </c>
      <c r="I170" s="444">
        <f>IF(D170="","",'Mx FORECAST'!DX108)</f>
        <v>4828762.2676282246</v>
      </c>
      <c r="J170" s="155">
        <f>IF(D170="","",'Mx FORECAST'!DP108)</f>
        <v>0</v>
      </c>
      <c r="K170" s="155">
        <f>IF(D170="","",'Mx FORECAST'!DQ108)</f>
        <v>0</v>
      </c>
      <c r="M170" s="155">
        <f>IF(D170="","",'Mx FORECAST'!DR108)</f>
        <v>0</v>
      </c>
      <c r="O170" s="155">
        <f>IF(D170="","",'Mx FORECAST'!DS108)</f>
        <v>0</v>
      </c>
      <c r="Q170" s="155">
        <f>IF(D170="","",'Mx FORECAST'!DT108)</f>
        <v>0</v>
      </c>
      <c r="S170" s="155">
        <f>IF(D170="","",'Mx FORECAST'!DU108)</f>
        <v>0</v>
      </c>
      <c r="U170" s="155">
        <f>IF(D170="","",'Mx FORECAST'!DV108)</f>
        <v>0</v>
      </c>
      <c r="W170" s="540">
        <f>IF(D170="","",'Mx FORECAST'!DY108)</f>
        <v>7837821.2323717754</v>
      </c>
      <c r="X170" s="540"/>
      <c r="Y170" s="437">
        <f>IF(D170="","",'Mx FORECAST'!DZ108)</f>
        <v>0.61877942322582691</v>
      </c>
      <c r="AD170" s="155"/>
      <c r="AF170" s="155"/>
      <c r="AH170" s="155"/>
      <c r="AJ170" s="155"/>
      <c r="AK170" s="8"/>
      <c r="AL170" s="8"/>
      <c r="AM170" s="8"/>
      <c r="AN170" s="8"/>
      <c r="AO170" s="8"/>
      <c r="AP170" s="8"/>
      <c r="AQ170" s="8"/>
      <c r="AR170" s="8"/>
      <c r="AS170" s="8"/>
      <c r="AT170" s="8"/>
      <c r="AU170" s="8"/>
      <c r="AV170" s="8"/>
      <c r="AW170" s="8"/>
      <c r="AX170" s="8"/>
      <c r="AY170" s="8"/>
      <c r="AZ170" s="8"/>
      <c r="BZ170" s="9"/>
      <c r="CA170" s="9"/>
      <c r="CB170" s="9"/>
      <c r="DM170" s="44">
        <f t="shared" si="438"/>
        <v>164</v>
      </c>
      <c r="DN170" s="41">
        <f t="shared" si="412"/>
        <v>12801925.5</v>
      </c>
      <c r="DO170" s="41">
        <f t="shared" si="439"/>
        <v>164168.42521367522</v>
      </c>
      <c r="DP170" s="42">
        <f t="shared" si="413"/>
        <v>0</v>
      </c>
      <c r="DQ170" s="42">
        <f t="shared" si="414"/>
        <v>0</v>
      </c>
      <c r="DR170" s="42">
        <f t="shared" si="415"/>
        <v>0</v>
      </c>
      <c r="DS170" s="42">
        <f t="shared" si="416"/>
        <v>0</v>
      </c>
      <c r="DT170" s="42">
        <f t="shared" si="417"/>
        <v>248100</v>
      </c>
      <c r="DU170" s="42">
        <f t="shared" si="418"/>
        <v>0</v>
      </c>
      <c r="DV170" s="42">
        <f t="shared" si="419"/>
        <v>0</v>
      </c>
      <c r="DW170" s="42">
        <f t="shared" si="420"/>
        <v>0</v>
      </c>
      <c r="DX170" s="42">
        <f t="shared" si="421"/>
        <v>5151081.3808760718</v>
      </c>
      <c r="DY170" s="42">
        <f>IF(DM170="",DY169,DN170-SUM($DO$6:DO170)+SUM($DP$6:DV170)-SUM($DW$6:DW170))</f>
        <v>7650844.1191239282</v>
      </c>
      <c r="DZ170" s="43">
        <f t="shared" si="440"/>
        <v>0.59763229516715499</v>
      </c>
      <c r="EA170" s="43"/>
      <c r="EB170" s="43" t="str">
        <f t="shared" si="398"/>
        <v>False</v>
      </c>
      <c r="EC170" s="41">
        <f t="shared" si="389"/>
        <v>264480</v>
      </c>
      <c r="ED170" s="41">
        <f t="shared" si="390"/>
        <v>686673.49999999988</v>
      </c>
      <c r="EE170" s="41">
        <f t="shared" si="422"/>
        <v>1037621.9999999999</v>
      </c>
      <c r="EF170" s="41">
        <f t="shared" si="441"/>
        <v>14693.333333333334</v>
      </c>
      <c r="EG170" s="42">
        <f t="shared" si="442"/>
        <v>9537.1319444444434</v>
      </c>
      <c r="EH170" s="42">
        <f t="shared" si="443"/>
        <v>7205.7083333333321</v>
      </c>
      <c r="EI170" s="42">
        <f t="shared" si="423"/>
        <v>29387</v>
      </c>
      <c r="EJ170" s="42">
        <f t="shared" si="424"/>
        <v>190743</v>
      </c>
      <c r="EK170" s="42">
        <f t="shared" si="425"/>
        <v>144114</v>
      </c>
      <c r="EL170" s="42">
        <f>IF(DM170="","",EC170-SUM($EF$6:EF170)+SUM($DP$6:DP170))</f>
        <v>235093.33333333535</v>
      </c>
      <c r="EM170" s="42">
        <f>IF(DM170="","",ED170-SUM($EG$6:EG170)+SUM($DQ$6:DQ170))</f>
        <v>495930.86111110623</v>
      </c>
      <c r="EN170" s="42">
        <f>IF(DM170="","",EE170-SUM($EH$6:EH170)+SUM($DR$6:DR170))</f>
        <v>893507.83333333081</v>
      </c>
      <c r="EO170" s="152">
        <f t="shared" si="426"/>
        <v>0.81685038244777886</v>
      </c>
      <c r="EP170" s="43"/>
      <c r="EQ170" s="42">
        <f t="shared" si="427"/>
        <v>448050</v>
      </c>
      <c r="ER170" s="42">
        <f t="shared" si="428"/>
        <v>248100</v>
      </c>
      <c r="ES170" s="42">
        <f t="shared" si="444"/>
        <v>3733.75</v>
      </c>
      <c r="ET170" s="42">
        <f t="shared" si="445"/>
        <v>6122.9807692307695</v>
      </c>
      <c r="EU170" s="42">
        <f t="shared" si="429"/>
        <v>164285</v>
      </c>
      <c r="EV170" s="42">
        <f t="shared" si="430"/>
        <v>0</v>
      </c>
      <c r="EW170" s="42">
        <f>IF(DM170="","",IF(DS170&gt;0,DS170,EQ170-SUM($ES$6:ES170)+SUM($DS$6:DS170)))</f>
        <v>283765</v>
      </c>
      <c r="EX170" s="42">
        <f>IF(DM170="","",IF(DT170&gt;0,DT170,ER170-SUM($ET$6:ET170)+SUM($DT$6:DT170)))</f>
        <v>248100</v>
      </c>
      <c r="EY170" s="43">
        <f t="shared" si="431"/>
        <v>1</v>
      </c>
      <c r="EZ170" s="43">
        <f t="shared" si="432"/>
        <v>0.6333333333333333</v>
      </c>
      <c r="FA170" s="43"/>
      <c r="FB170" s="42">
        <f t="shared" si="433"/>
        <v>4935000</v>
      </c>
      <c r="FC170" s="42">
        <f t="shared" si="434"/>
        <v>5182000</v>
      </c>
      <c r="FD170" s="41">
        <f t="shared" si="446"/>
        <v>89960.9375</v>
      </c>
      <c r="FE170" s="41">
        <f t="shared" si="447"/>
        <v>32914.583333333336</v>
      </c>
      <c r="FF170" s="42">
        <f t="shared" si="435"/>
        <v>2009372</v>
      </c>
      <c r="FG170" s="42">
        <f t="shared" si="436"/>
        <v>2601412</v>
      </c>
      <c r="FH170" s="42">
        <f>IF(DM170="","",IF(DU170&gt;0,DU170,FB170-SUM($FD$6:FD170)+SUM($DU$6:DU170)))</f>
        <v>2925627.6041666642</v>
      </c>
      <c r="FI170" s="42">
        <f>IF(DM170="","",FC170-SUM($FE$6:FE170)+SUM($DV$6:DV170)-SUM($DW$6:DW170))</f>
        <v>2580588.3333333367</v>
      </c>
      <c r="FJ170" s="152">
        <f t="shared" si="437"/>
        <v>0.54425382400909372</v>
      </c>
      <c r="FN170" s="8"/>
      <c r="FO170" s="8"/>
      <c r="FP170" s="8"/>
      <c r="FQ170" s="8"/>
      <c r="FR170" s="8"/>
      <c r="FS170" s="8"/>
      <c r="FT170" s="8"/>
      <c r="FU170" s="8"/>
      <c r="GC170" s="68">
        <f t="shared" si="401"/>
        <v>165</v>
      </c>
      <c r="GD170" s="78">
        <f t="shared" si="402"/>
        <v>0</v>
      </c>
      <c r="GE170" s="309">
        <f t="shared" si="403"/>
        <v>0.58480856601690523</v>
      </c>
      <c r="GF170" s="78">
        <f t="shared" si="404"/>
        <v>0</v>
      </c>
      <c r="GG170" s="310">
        <f t="shared" si="405"/>
        <v>0.80104358393728281</v>
      </c>
      <c r="GH170" s="78">
        <f t="shared" si="406"/>
        <v>0</v>
      </c>
      <c r="GI170" s="310">
        <f t="shared" si="407"/>
        <v>0.625</v>
      </c>
      <c r="GJ170" s="311">
        <f t="shared" si="408"/>
        <v>0</v>
      </c>
      <c r="GK170" s="310">
        <f t="shared" si="409"/>
        <v>0.92788461538462352</v>
      </c>
      <c r="GL170" s="311">
        <f t="shared" si="410"/>
        <v>0</v>
      </c>
      <c r="GM170" s="310">
        <f t="shared" si="411"/>
        <v>0.53210837369444186</v>
      </c>
      <c r="GQ170" s="8"/>
      <c r="HD170" s="13"/>
      <c r="HE170" s="24"/>
      <c r="HF170" s="13"/>
      <c r="HG170" s="14"/>
      <c r="HH170" s="13"/>
      <c r="HI170" s="13"/>
      <c r="HJ170" s="13"/>
      <c r="HK170" s="13"/>
      <c r="HL170" s="13"/>
      <c r="HM170" s="14"/>
      <c r="HN170" s="13"/>
      <c r="HO170" s="13"/>
    </row>
    <row r="171" spans="3:223" x14ac:dyDescent="0.2">
      <c r="C171" s="426">
        <f t="shared" si="346"/>
        <v>44409</v>
      </c>
      <c r="D171" s="155">
        <f t="shared" si="347"/>
        <v>103</v>
      </c>
      <c r="E171" s="155">
        <f t="shared" si="399"/>
        <v>12666583.5</v>
      </c>
      <c r="F171" s="155"/>
      <c r="G171" s="438">
        <f t="shared" si="400"/>
        <v>163228.55021367522</v>
      </c>
      <c r="I171" s="444">
        <f>IF(D171="","",'Mx FORECAST'!DX109)</f>
        <v>4991990.8178419005</v>
      </c>
      <c r="J171" s="155">
        <f>IF(D171="","",'Mx FORECAST'!DP109)</f>
        <v>0</v>
      </c>
      <c r="K171" s="155">
        <f>IF(D171="","",'Mx FORECAST'!DQ109)</f>
        <v>0</v>
      </c>
      <c r="M171" s="155">
        <f>IF(D171="","",'Mx FORECAST'!DR109)</f>
        <v>0</v>
      </c>
      <c r="O171" s="155">
        <f>IF(D171="","",'Mx FORECAST'!DS109)</f>
        <v>0</v>
      </c>
      <c r="Q171" s="155">
        <f>IF(D171="","",'Mx FORECAST'!DT109)</f>
        <v>0</v>
      </c>
      <c r="S171" s="155">
        <f>IF(D171="","",'Mx FORECAST'!DU109)</f>
        <v>0</v>
      </c>
      <c r="U171" s="155">
        <f>IF(D171="","",'Mx FORECAST'!DV109)</f>
        <v>0</v>
      </c>
      <c r="W171" s="540">
        <f>IF(D171="","",'Mx FORECAST'!DY109)</f>
        <v>7674592.6821580995</v>
      </c>
      <c r="X171" s="540"/>
      <c r="Y171" s="437">
        <f>IF(D171="","",'Mx FORECAST'!DZ109)</f>
        <v>0.60589287412490511</v>
      </c>
      <c r="AD171" s="155"/>
      <c r="AF171" s="155"/>
      <c r="AH171" s="155"/>
      <c r="AJ171" s="155"/>
      <c r="AK171" s="8"/>
      <c r="AL171" s="8"/>
      <c r="AM171" s="8"/>
      <c r="AN171" s="8"/>
      <c r="AO171" s="8"/>
      <c r="AP171" s="8"/>
      <c r="AQ171" s="8"/>
      <c r="AR171" s="8"/>
      <c r="AS171" s="8"/>
      <c r="AT171" s="8"/>
      <c r="AU171" s="8"/>
      <c r="AV171" s="8"/>
      <c r="AW171" s="8"/>
      <c r="AX171" s="8"/>
      <c r="AY171" s="8"/>
      <c r="AZ171" s="8"/>
      <c r="BZ171" s="9"/>
      <c r="CA171" s="9"/>
      <c r="CB171" s="9"/>
      <c r="DM171" s="44">
        <f t="shared" si="438"/>
        <v>165</v>
      </c>
      <c r="DN171" s="41">
        <f t="shared" si="412"/>
        <v>12801925.5</v>
      </c>
      <c r="DO171" s="41">
        <f t="shared" si="439"/>
        <v>164168.42521367522</v>
      </c>
      <c r="DP171" s="42">
        <f t="shared" si="413"/>
        <v>0</v>
      </c>
      <c r="DQ171" s="42">
        <f t="shared" si="414"/>
        <v>0</v>
      </c>
      <c r="DR171" s="42">
        <f t="shared" si="415"/>
        <v>0</v>
      </c>
      <c r="DS171" s="42">
        <f t="shared" si="416"/>
        <v>0</v>
      </c>
      <c r="DT171" s="42">
        <f t="shared" si="417"/>
        <v>0</v>
      </c>
      <c r="DU171" s="42">
        <f t="shared" si="418"/>
        <v>0</v>
      </c>
      <c r="DV171" s="42">
        <f t="shared" si="419"/>
        <v>0</v>
      </c>
      <c r="DW171" s="42">
        <f t="shared" si="420"/>
        <v>0</v>
      </c>
      <c r="DX171" s="42">
        <f t="shared" si="421"/>
        <v>5315249.8060897477</v>
      </c>
      <c r="DY171" s="42">
        <f>IF(DM171="",DY170,DN171-SUM($DO$6:DO171)+SUM($DP$6:DV171)-SUM($DW$6:DW171))</f>
        <v>7486675.6939102523</v>
      </c>
      <c r="DZ171" s="43">
        <f t="shared" si="440"/>
        <v>0.58480856601690523</v>
      </c>
      <c r="EA171" s="43"/>
      <c r="EB171" s="43" t="str">
        <f t="shared" si="398"/>
        <v>False</v>
      </c>
      <c r="EC171" s="41">
        <f t="shared" si="389"/>
        <v>264480</v>
      </c>
      <c r="ED171" s="41">
        <f t="shared" si="390"/>
        <v>686673.49999999988</v>
      </c>
      <c r="EE171" s="41">
        <f t="shared" si="422"/>
        <v>1037621.9999999999</v>
      </c>
      <c r="EF171" s="41">
        <f t="shared" si="441"/>
        <v>14693.333333333334</v>
      </c>
      <c r="EG171" s="42">
        <f t="shared" si="442"/>
        <v>9537.1319444444434</v>
      </c>
      <c r="EH171" s="42">
        <f t="shared" si="443"/>
        <v>7205.7083333333321</v>
      </c>
      <c r="EI171" s="42">
        <f t="shared" si="423"/>
        <v>44080</v>
      </c>
      <c r="EJ171" s="42">
        <f t="shared" si="424"/>
        <v>200280</v>
      </c>
      <c r="EK171" s="42">
        <f t="shared" si="425"/>
        <v>151320</v>
      </c>
      <c r="EL171" s="42">
        <f>IF(DM171="","",EC171-SUM($EF$6:EF171)+SUM($DP$6:DP171))</f>
        <v>220400.0000000021</v>
      </c>
      <c r="EM171" s="42">
        <f>IF(DM171="","",ED171-SUM($EG$6:EG171)+SUM($DQ$6:DQ171))</f>
        <v>486393.72916666174</v>
      </c>
      <c r="EN171" s="42">
        <f>IF(DM171="","",EE171-SUM($EH$6:EH171)+SUM($DR$6:DR171))</f>
        <v>886302.12499999756</v>
      </c>
      <c r="EO171" s="152">
        <f t="shared" si="426"/>
        <v>0.80104358393728281</v>
      </c>
      <c r="EP171" s="43"/>
      <c r="EQ171" s="42">
        <f t="shared" si="427"/>
        <v>448050</v>
      </c>
      <c r="ER171" s="42">
        <f t="shared" si="428"/>
        <v>248100</v>
      </c>
      <c r="ES171" s="42">
        <f t="shared" si="444"/>
        <v>3733.75</v>
      </c>
      <c r="ET171" s="42">
        <f t="shared" si="445"/>
        <v>6122.9807692307695</v>
      </c>
      <c r="EU171" s="42">
        <f t="shared" si="429"/>
        <v>168019</v>
      </c>
      <c r="EV171" s="42">
        <f t="shared" si="430"/>
        <v>17892</v>
      </c>
      <c r="EW171" s="42">
        <f>IF(DM171="","",IF(DS171&gt;0,DS171,EQ171-SUM($ES$6:ES171)+SUM($DS$6:DS171)))</f>
        <v>280031.25</v>
      </c>
      <c r="EX171" s="42">
        <f>IF(DM171="","",IF(DT171&gt;0,DT171,ER171-SUM($ET$6:ET171)+SUM($DT$6:DT171)))</f>
        <v>230208.1730769251</v>
      </c>
      <c r="EY171" s="43">
        <f t="shared" si="431"/>
        <v>0.92788461538462352</v>
      </c>
      <c r="EZ171" s="43">
        <f t="shared" si="432"/>
        <v>0.625</v>
      </c>
      <c r="FA171" s="43"/>
      <c r="FB171" s="42">
        <f t="shared" si="433"/>
        <v>4935000</v>
      </c>
      <c r="FC171" s="42">
        <f t="shared" si="434"/>
        <v>5182000</v>
      </c>
      <c r="FD171" s="41">
        <f t="shared" si="446"/>
        <v>89960.9375</v>
      </c>
      <c r="FE171" s="41">
        <f t="shared" si="447"/>
        <v>32914.583333333336</v>
      </c>
      <c r="FF171" s="42">
        <f t="shared" si="435"/>
        <v>2099333</v>
      </c>
      <c r="FG171" s="42">
        <f t="shared" si="436"/>
        <v>2634326</v>
      </c>
      <c r="FH171" s="42">
        <f>IF(DM171="","",IF(DU171&gt;0,DU171,FB171-SUM($FD$6:FD171)+SUM($DU$6:DU171)))</f>
        <v>2835666.6666666642</v>
      </c>
      <c r="FI171" s="42">
        <f>IF(DM171="","",FC171-SUM($FE$6:FE171)+SUM($DV$6:DV171)-SUM($DW$6:DW171))</f>
        <v>2547673.7500000037</v>
      </c>
      <c r="FJ171" s="152">
        <f t="shared" si="437"/>
        <v>0.53210837369444186</v>
      </c>
      <c r="FN171" s="8"/>
      <c r="FO171" s="8"/>
      <c r="FP171" s="8"/>
      <c r="FQ171" s="8"/>
      <c r="FR171" s="8"/>
      <c r="FS171" s="8"/>
      <c r="FT171" s="8"/>
      <c r="FU171" s="8"/>
      <c r="GC171" s="68">
        <f t="shared" si="401"/>
        <v>166</v>
      </c>
      <c r="GD171" s="78">
        <f t="shared" si="402"/>
        <v>0</v>
      </c>
      <c r="GE171" s="309">
        <f t="shared" si="403"/>
        <v>0.57198483686665547</v>
      </c>
      <c r="GF171" s="78">
        <f t="shared" si="404"/>
        <v>0</v>
      </c>
      <c r="GG171" s="310">
        <f t="shared" si="405"/>
        <v>0.78523678542678677</v>
      </c>
      <c r="GH171" s="78">
        <f t="shared" si="406"/>
        <v>0</v>
      </c>
      <c r="GI171" s="310">
        <f t="shared" si="407"/>
        <v>0.6166666666666667</v>
      </c>
      <c r="GJ171" s="311">
        <f t="shared" si="408"/>
        <v>0</v>
      </c>
      <c r="GK171" s="310">
        <f t="shared" si="409"/>
        <v>0.90320512820513643</v>
      </c>
      <c r="GL171" s="311">
        <f t="shared" si="410"/>
        <v>0</v>
      </c>
      <c r="GM171" s="310">
        <f t="shared" si="411"/>
        <v>0.51996292337979</v>
      </c>
      <c r="GQ171" s="8"/>
      <c r="HD171" s="13"/>
      <c r="HE171" s="24"/>
      <c r="HF171" s="13"/>
      <c r="HG171" s="14"/>
      <c r="HH171" s="13"/>
      <c r="HI171" s="13"/>
      <c r="HJ171" s="13"/>
      <c r="HK171" s="13"/>
      <c r="HL171" s="13"/>
      <c r="HM171" s="14"/>
      <c r="HN171" s="13"/>
      <c r="HO171" s="13"/>
    </row>
    <row r="172" spans="3:223" x14ac:dyDescent="0.2">
      <c r="C172" s="426">
        <f t="shared" si="346"/>
        <v>44440</v>
      </c>
      <c r="D172" s="155">
        <f t="shared" si="347"/>
        <v>104</v>
      </c>
      <c r="E172" s="155">
        <f t="shared" si="399"/>
        <v>12666583.5</v>
      </c>
      <c r="F172" s="155"/>
      <c r="G172" s="438">
        <f t="shared" si="400"/>
        <v>163228.55021367522</v>
      </c>
      <c r="I172" s="444">
        <f>IF(D172="","",'Mx FORECAST'!DX110)</f>
        <v>5155219.3680555765</v>
      </c>
      <c r="J172" s="155">
        <f>IF(D172="","",'Mx FORECAST'!DP110)</f>
        <v>0</v>
      </c>
      <c r="K172" s="155">
        <f>IF(D172="","",'Mx FORECAST'!DQ110)</f>
        <v>0</v>
      </c>
      <c r="M172" s="155">
        <f>IF(D172="","",'Mx FORECAST'!DR110)</f>
        <v>0</v>
      </c>
      <c r="O172" s="155">
        <f>IF(D172="","",'Mx FORECAST'!DS110)</f>
        <v>0</v>
      </c>
      <c r="Q172" s="155">
        <f>IF(D172="","",'Mx FORECAST'!DT110)</f>
        <v>0</v>
      </c>
      <c r="S172" s="155">
        <f>IF(D172="","",'Mx FORECAST'!DU110)</f>
        <v>0</v>
      </c>
      <c r="U172" s="155">
        <f>IF(D172="","",'Mx FORECAST'!DV110)</f>
        <v>0</v>
      </c>
      <c r="W172" s="540">
        <f>IF(D172="","",'Mx FORECAST'!DY110)</f>
        <v>7511364.1319444235</v>
      </c>
      <c r="X172" s="540"/>
      <c r="Y172" s="437">
        <f>IF(D172="","",'Mx FORECAST'!DZ110)</f>
        <v>0.59300632502398332</v>
      </c>
      <c r="AD172" s="155"/>
      <c r="AF172" s="155"/>
      <c r="AH172" s="155"/>
      <c r="AJ172" s="155"/>
      <c r="AK172" s="8"/>
      <c r="AL172" s="8"/>
      <c r="AM172" s="8"/>
      <c r="AN172" s="8"/>
      <c r="AO172" s="8"/>
      <c r="AP172" s="8"/>
      <c r="AQ172" s="8"/>
      <c r="AR172" s="8"/>
      <c r="AS172" s="8"/>
      <c r="AT172" s="8"/>
      <c r="AU172" s="8"/>
      <c r="AV172" s="8"/>
      <c r="AW172" s="8"/>
      <c r="AX172" s="8"/>
      <c r="AY172" s="8"/>
      <c r="AZ172" s="8"/>
      <c r="BZ172" s="9"/>
      <c r="CA172" s="9"/>
      <c r="CB172" s="9"/>
      <c r="DM172" s="44">
        <f t="shared" si="438"/>
        <v>166</v>
      </c>
      <c r="DN172" s="41">
        <f t="shared" si="412"/>
        <v>12801925.5</v>
      </c>
      <c r="DO172" s="41">
        <f t="shared" si="439"/>
        <v>164168.42521367522</v>
      </c>
      <c r="DP172" s="42">
        <f t="shared" si="413"/>
        <v>0</v>
      </c>
      <c r="DQ172" s="42">
        <f t="shared" si="414"/>
        <v>0</v>
      </c>
      <c r="DR172" s="42">
        <f t="shared" si="415"/>
        <v>0</v>
      </c>
      <c r="DS172" s="42">
        <f t="shared" si="416"/>
        <v>0</v>
      </c>
      <c r="DT172" s="42">
        <f t="shared" si="417"/>
        <v>0</v>
      </c>
      <c r="DU172" s="42">
        <f t="shared" si="418"/>
        <v>0</v>
      </c>
      <c r="DV172" s="42">
        <f t="shared" si="419"/>
        <v>0</v>
      </c>
      <c r="DW172" s="42">
        <f t="shared" si="420"/>
        <v>0</v>
      </c>
      <c r="DX172" s="42">
        <f t="shared" si="421"/>
        <v>5479418.2313034236</v>
      </c>
      <c r="DY172" s="42">
        <f>IF(DM172="",DY171,DN172-SUM($DO$6:DO172)+SUM($DP$6:DV172)-SUM($DW$6:DW172))</f>
        <v>7322507.2686965764</v>
      </c>
      <c r="DZ172" s="43">
        <f t="shared" si="440"/>
        <v>0.57198483686665547</v>
      </c>
      <c r="EA172" s="43"/>
      <c r="EB172" s="43" t="str">
        <f t="shared" si="398"/>
        <v>False</v>
      </c>
      <c r="EC172" s="41">
        <f t="shared" si="389"/>
        <v>264480</v>
      </c>
      <c r="ED172" s="41">
        <f t="shared" si="390"/>
        <v>686673.49999999988</v>
      </c>
      <c r="EE172" s="41">
        <f t="shared" si="422"/>
        <v>1037621.9999999999</v>
      </c>
      <c r="EF172" s="41">
        <f t="shared" si="441"/>
        <v>14693.333333333334</v>
      </c>
      <c r="EG172" s="42">
        <f t="shared" si="442"/>
        <v>9537.1319444444434</v>
      </c>
      <c r="EH172" s="42">
        <f t="shared" si="443"/>
        <v>7205.7083333333321</v>
      </c>
      <c r="EI172" s="42">
        <f t="shared" si="423"/>
        <v>58773</v>
      </c>
      <c r="EJ172" s="42">
        <f t="shared" si="424"/>
        <v>209817</v>
      </c>
      <c r="EK172" s="42">
        <f t="shared" si="425"/>
        <v>158526</v>
      </c>
      <c r="EL172" s="42">
        <f>IF(DM172="","",EC172-SUM($EF$6:EF172)+SUM($DP$6:DP172))</f>
        <v>205706.66666666884</v>
      </c>
      <c r="EM172" s="42">
        <f>IF(DM172="","",ED172-SUM($EG$6:EG172)+SUM($DQ$6:DQ172))</f>
        <v>476856.59722221724</v>
      </c>
      <c r="EN172" s="42">
        <f>IF(DM172="","",EE172-SUM($EH$6:EH172)+SUM($DR$6:DR172))</f>
        <v>879096.4166666643</v>
      </c>
      <c r="EO172" s="152">
        <f t="shared" si="426"/>
        <v>0.78523678542678677</v>
      </c>
      <c r="EP172" s="43"/>
      <c r="EQ172" s="42">
        <f t="shared" si="427"/>
        <v>448050</v>
      </c>
      <c r="ER172" s="42">
        <f t="shared" si="428"/>
        <v>248100</v>
      </c>
      <c r="ES172" s="42">
        <f t="shared" si="444"/>
        <v>3733.75</v>
      </c>
      <c r="ET172" s="42">
        <f t="shared" si="445"/>
        <v>6122.9807692307695</v>
      </c>
      <c r="EU172" s="42">
        <f t="shared" si="429"/>
        <v>171753</v>
      </c>
      <c r="EV172" s="42">
        <f t="shared" si="430"/>
        <v>24015</v>
      </c>
      <c r="EW172" s="42">
        <f>IF(DM172="","",IF(DS172&gt;0,DS172,EQ172-SUM($ES$6:ES172)+SUM($DS$6:DS172)))</f>
        <v>276297.5</v>
      </c>
      <c r="EX172" s="42">
        <f>IF(DM172="","",IF(DT172&gt;0,DT172,ER172-SUM($ET$6:ET172)+SUM($DT$6:DT172)))</f>
        <v>224085.19230769435</v>
      </c>
      <c r="EY172" s="43">
        <f t="shared" si="431"/>
        <v>0.90320512820513643</v>
      </c>
      <c r="EZ172" s="43">
        <f t="shared" si="432"/>
        <v>0.6166666666666667</v>
      </c>
      <c r="FA172" s="43"/>
      <c r="FB172" s="42">
        <f t="shared" si="433"/>
        <v>4935000</v>
      </c>
      <c r="FC172" s="42">
        <f t="shared" si="434"/>
        <v>5182000</v>
      </c>
      <c r="FD172" s="41">
        <f t="shared" si="446"/>
        <v>89960.9375</v>
      </c>
      <c r="FE172" s="41">
        <f t="shared" si="447"/>
        <v>32914.583333333336</v>
      </c>
      <c r="FF172" s="42">
        <f t="shared" si="435"/>
        <v>2189294</v>
      </c>
      <c r="FG172" s="42">
        <f t="shared" si="436"/>
        <v>2667241</v>
      </c>
      <c r="FH172" s="42">
        <f>IF(DM172="","",IF(DU172&gt;0,DU172,FB172-SUM($FD$6:FD172)+SUM($DU$6:DU172)))</f>
        <v>2745705.7291666642</v>
      </c>
      <c r="FI172" s="42">
        <f>IF(DM172="","",FC172-SUM($FE$6:FE172)+SUM($DV$6:DV172)-SUM($DW$6:DW172))</f>
        <v>2514759.1666666707</v>
      </c>
      <c r="FJ172" s="152">
        <f t="shared" si="437"/>
        <v>0.51996292337979</v>
      </c>
      <c r="FN172" s="8"/>
      <c r="FO172" s="8"/>
      <c r="FP172" s="8"/>
      <c r="FQ172" s="8"/>
      <c r="FR172" s="8"/>
      <c r="FS172" s="8"/>
      <c r="FT172" s="8"/>
      <c r="FU172" s="8"/>
      <c r="GC172" s="68">
        <f t="shared" si="401"/>
        <v>167</v>
      </c>
      <c r="GD172" s="78">
        <f t="shared" si="402"/>
        <v>0</v>
      </c>
      <c r="GE172" s="309">
        <f t="shared" si="403"/>
        <v>0.5591611077164057</v>
      </c>
      <c r="GF172" s="78">
        <f t="shared" si="404"/>
        <v>0</v>
      </c>
      <c r="GG172" s="310">
        <f t="shared" si="405"/>
        <v>0.76942998691629072</v>
      </c>
      <c r="GH172" s="78">
        <f t="shared" si="406"/>
        <v>0</v>
      </c>
      <c r="GI172" s="310">
        <f t="shared" si="407"/>
        <v>0.60833333333333328</v>
      </c>
      <c r="GJ172" s="311">
        <f t="shared" si="408"/>
        <v>0</v>
      </c>
      <c r="GK172" s="310">
        <f t="shared" si="409"/>
        <v>0.87852564102564934</v>
      </c>
      <c r="GL172" s="311">
        <f t="shared" si="410"/>
        <v>0</v>
      </c>
      <c r="GM172" s="310">
        <f t="shared" si="411"/>
        <v>0.50781747306513803</v>
      </c>
      <c r="GQ172" s="8"/>
      <c r="HD172" s="13"/>
      <c r="HE172" s="24"/>
      <c r="HF172" s="13"/>
      <c r="HG172" s="14"/>
      <c r="HH172" s="13"/>
      <c r="HI172" s="13"/>
      <c r="HJ172" s="13"/>
      <c r="HK172" s="13"/>
      <c r="HL172" s="13"/>
      <c r="HM172" s="14"/>
      <c r="HN172" s="13"/>
      <c r="HO172" s="13"/>
    </row>
    <row r="173" spans="3:223" x14ac:dyDescent="0.2">
      <c r="C173" s="426">
        <f t="shared" si="346"/>
        <v>44470</v>
      </c>
      <c r="D173" s="155">
        <f t="shared" si="347"/>
        <v>105</v>
      </c>
      <c r="E173" s="155">
        <f t="shared" si="399"/>
        <v>12666583.5</v>
      </c>
      <c r="F173" s="155"/>
      <c r="G173" s="438">
        <f t="shared" si="400"/>
        <v>163228.55021367522</v>
      </c>
      <c r="I173" s="444">
        <f>IF(D173="","",'Mx FORECAST'!DX111)</f>
        <v>5318447.9182692524</v>
      </c>
      <c r="J173" s="155">
        <f>IF(D173="","",'Mx FORECAST'!DP111)</f>
        <v>0</v>
      </c>
      <c r="K173" s="155">
        <f>IF(D173="","",'Mx FORECAST'!DQ111)</f>
        <v>0</v>
      </c>
      <c r="M173" s="155">
        <f>IF(D173="","",'Mx FORECAST'!DR111)</f>
        <v>0</v>
      </c>
      <c r="O173" s="155">
        <f>IF(D173="","",'Mx FORECAST'!DS111)</f>
        <v>0</v>
      </c>
      <c r="Q173" s="155">
        <f>IF(D173="","",'Mx FORECAST'!DT111)</f>
        <v>0</v>
      </c>
      <c r="S173" s="155">
        <f>IF(D173="","",'Mx FORECAST'!DU111)</f>
        <v>0</v>
      </c>
      <c r="U173" s="155">
        <f>IF(D173="","",'Mx FORECAST'!DV111)</f>
        <v>0</v>
      </c>
      <c r="W173" s="540">
        <f>IF(D173="","",'Mx FORECAST'!DY111)</f>
        <v>7348135.5817307476</v>
      </c>
      <c r="X173" s="540"/>
      <c r="Y173" s="437">
        <f>IF(D173="","",'Mx FORECAST'!DZ111)</f>
        <v>0.58011977592306141</v>
      </c>
      <c r="AD173" s="155"/>
      <c r="AF173" s="155"/>
      <c r="AH173" s="155"/>
      <c r="AJ173" s="155"/>
      <c r="AK173" s="8"/>
      <c r="AL173" s="8"/>
      <c r="AM173" s="8"/>
      <c r="AN173" s="8"/>
      <c r="AO173" s="8"/>
      <c r="AP173" s="8"/>
      <c r="AQ173" s="8"/>
      <c r="AR173" s="8"/>
      <c r="AS173" s="8"/>
      <c r="AT173" s="8"/>
      <c r="AU173" s="8"/>
      <c r="AV173" s="8"/>
      <c r="AW173" s="8"/>
      <c r="AX173" s="8"/>
      <c r="AY173" s="8"/>
      <c r="AZ173" s="8"/>
      <c r="BZ173" s="9"/>
      <c r="CA173" s="9"/>
      <c r="CB173" s="9"/>
      <c r="DM173" s="44">
        <f t="shared" si="438"/>
        <v>167</v>
      </c>
      <c r="DN173" s="41">
        <f t="shared" si="412"/>
        <v>12801925.5</v>
      </c>
      <c r="DO173" s="41">
        <f t="shared" si="439"/>
        <v>164168.42521367522</v>
      </c>
      <c r="DP173" s="42">
        <f t="shared" si="413"/>
        <v>0</v>
      </c>
      <c r="DQ173" s="42">
        <f t="shared" si="414"/>
        <v>0</v>
      </c>
      <c r="DR173" s="42">
        <f t="shared" si="415"/>
        <v>0</v>
      </c>
      <c r="DS173" s="42">
        <f t="shared" si="416"/>
        <v>0</v>
      </c>
      <c r="DT173" s="42">
        <f t="shared" si="417"/>
        <v>0</v>
      </c>
      <c r="DU173" s="42">
        <f t="shared" si="418"/>
        <v>0</v>
      </c>
      <c r="DV173" s="42">
        <f t="shared" si="419"/>
        <v>0</v>
      </c>
      <c r="DW173" s="42">
        <f t="shared" si="420"/>
        <v>0</v>
      </c>
      <c r="DX173" s="42">
        <f t="shared" si="421"/>
        <v>5643586.6565170996</v>
      </c>
      <c r="DY173" s="42">
        <f>IF(DM173="",DY172,DN173-SUM($DO$6:DO173)+SUM($DP$6:DV173)-SUM($DW$6:DW173))</f>
        <v>7158338.8434829004</v>
      </c>
      <c r="DZ173" s="43">
        <f t="shared" si="440"/>
        <v>0.5591611077164057</v>
      </c>
      <c r="EA173" s="43"/>
      <c r="EB173" s="43" t="str">
        <f t="shared" si="398"/>
        <v>False</v>
      </c>
      <c r="EC173" s="41">
        <f t="shared" si="389"/>
        <v>264480</v>
      </c>
      <c r="ED173" s="41">
        <f t="shared" si="390"/>
        <v>686673.49999999988</v>
      </c>
      <c r="EE173" s="41">
        <f t="shared" si="422"/>
        <v>1037621.9999999999</v>
      </c>
      <c r="EF173" s="41">
        <f t="shared" si="441"/>
        <v>14693.333333333334</v>
      </c>
      <c r="EG173" s="42">
        <f t="shared" si="442"/>
        <v>9537.1319444444434</v>
      </c>
      <c r="EH173" s="42">
        <f t="shared" si="443"/>
        <v>7205.7083333333321</v>
      </c>
      <c r="EI173" s="42">
        <f t="shared" si="423"/>
        <v>73467</v>
      </c>
      <c r="EJ173" s="42">
        <f t="shared" si="424"/>
        <v>219354</v>
      </c>
      <c r="EK173" s="42">
        <f t="shared" si="425"/>
        <v>165731</v>
      </c>
      <c r="EL173" s="42">
        <f>IF(DM173="","",EC173-SUM($EF$6:EF173)+SUM($DP$6:DP173))</f>
        <v>191013.33333333558</v>
      </c>
      <c r="EM173" s="42">
        <f>IF(DM173="","",ED173-SUM($EG$6:EG173)+SUM($DQ$6:DQ173))</f>
        <v>467319.46527777275</v>
      </c>
      <c r="EN173" s="42">
        <f>IF(DM173="","",EE173-SUM($EH$6:EH173)+SUM($DR$6:DR173))</f>
        <v>871890.70833333104</v>
      </c>
      <c r="EO173" s="152">
        <f t="shared" si="426"/>
        <v>0.76942998691629072</v>
      </c>
      <c r="EP173" s="43"/>
      <c r="EQ173" s="42">
        <f t="shared" si="427"/>
        <v>448050</v>
      </c>
      <c r="ER173" s="42">
        <f t="shared" si="428"/>
        <v>248100</v>
      </c>
      <c r="ES173" s="42">
        <f t="shared" si="444"/>
        <v>3733.75</v>
      </c>
      <c r="ET173" s="42">
        <f t="shared" si="445"/>
        <v>6122.9807692307695</v>
      </c>
      <c r="EU173" s="42">
        <f t="shared" si="429"/>
        <v>175486</v>
      </c>
      <c r="EV173" s="42">
        <f t="shared" si="430"/>
        <v>30138</v>
      </c>
      <c r="EW173" s="42">
        <f>IF(DM173="","",IF(DS173&gt;0,DS173,EQ173-SUM($ES$6:ES173)+SUM($DS$6:DS173)))</f>
        <v>272563.75</v>
      </c>
      <c r="EX173" s="42">
        <f>IF(DM173="","",IF(DT173&gt;0,DT173,ER173-SUM($ET$6:ET173)+SUM($DT$6:DT173)))</f>
        <v>217962.2115384636</v>
      </c>
      <c r="EY173" s="43">
        <f t="shared" si="431"/>
        <v>0.87852564102564934</v>
      </c>
      <c r="EZ173" s="43">
        <f t="shared" si="432"/>
        <v>0.60833333333333328</v>
      </c>
      <c r="FA173" s="43"/>
      <c r="FB173" s="42">
        <f t="shared" si="433"/>
        <v>4935000</v>
      </c>
      <c r="FC173" s="42">
        <f t="shared" si="434"/>
        <v>5182000</v>
      </c>
      <c r="FD173" s="41">
        <f t="shared" si="446"/>
        <v>89960.9375</v>
      </c>
      <c r="FE173" s="41">
        <f t="shared" si="447"/>
        <v>32914.583333333336</v>
      </c>
      <c r="FF173" s="42">
        <f t="shared" si="435"/>
        <v>2279255</v>
      </c>
      <c r="FG173" s="42">
        <f t="shared" si="436"/>
        <v>2700155</v>
      </c>
      <c r="FH173" s="42">
        <f>IF(DM173="","",IF(DU173&gt;0,DU173,FB173-SUM($FD$6:FD173)+SUM($DU$6:DU173)))</f>
        <v>2655744.7916666642</v>
      </c>
      <c r="FI173" s="42">
        <f>IF(DM173="","",FC173-SUM($FE$6:FE173)+SUM($DV$6:DV173)-SUM($DW$6:DW173))</f>
        <v>2481844.5833333377</v>
      </c>
      <c r="FJ173" s="152">
        <f t="shared" si="437"/>
        <v>0.50781747306513803</v>
      </c>
      <c r="FN173" s="8"/>
      <c r="FO173" s="8"/>
      <c r="FP173" s="8"/>
      <c r="FQ173" s="8"/>
      <c r="FR173" s="8"/>
      <c r="FS173" s="8"/>
      <c r="FT173" s="8"/>
      <c r="FU173" s="8"/>
      <c r="GC173" s="68">
        <f t="shared" si="401"/>
        <v>168</v>
      </c>
      <c r="GD173" s="78">
        <f t="shared" si="402"/>
        <v>0</v>
      </c>
      <c r="GE173" s="309">
        <f t="shared" si="403"/>
        <v>0.54633737856615594</v>
      </c>
      <c r="GF173" s="78">
        <f t="shared" si="404"/>
        <v>0</v>
      </c>
      <c r="GG173" s="310">
        <f t="shared" si="405"/>
        <v>0.75362318840579468</v>
      </c>
      <c r="GH173" s="78">
        <f t="shared" si="406"/>
        <v>0</v>
      </c>
      <c r="GI173" s="310">
        <f t="shared" si="407"/>
        <v>0.6</v>
      </c>
      <c r="GJ173" s="311">
        <f t="shared" si="408"/>
        <v>0</v>
      </c>
      <c r="GK173" s="310">
        <f t="shared" si="409"/>
        <v>0.85384615384616225</v>
      </c>
      <c r="GL173" s="311">
        <f t="shared" si="410"/>
        <v>0</v>
      </c>
      <c r="GM173" s="310">
        <f t="shared" si="411"/>
        <v>0.49567202275048622</v>
      </c>
      <c r="GQ173" s="8"/>
      <c r="HD173" s="13"/>
      <c r="HE173" s="24"/>
      <c r="HF173" s="13"/>
      <c r="HG173" s="14"/>
      <c r="HH173" s="13"/>
      <c r="HI173" s="13"/>
      <c r="HJ173" s="13"/>
      <c r="HK173" s="13"/>
      <c r="HL173" s="13"/>
      <c r="HM173" s="14"/>
      <c r="HN173" s="13"/>
      <c r="HO173" s="13"/>
    </row>
    <row r="174" spans="3:223" x14ac:dyDescent="0.2">
      <c r="C174" s="426">
        <f t="shared" si="346"/>
        <v>44501</v>
      </c>
      <c r="D174" s="155">
        <f t="shared" si="347"/>
        <v>106</v>
      </c>
      <c r="E174" s="155">
        <f t="shared" si="399"/>
        <v>12666583.5</v>
      </c>
      <c r="F174" s="155"/>
      <c r="G174" s="438">
        <f t="shared" si="400"/>
        <v>163228.55021367522</v>
      </c>
      <c r="I174" s="444">
        <f>IF(D174="","",'Mx FORECAST'!DX112)</f>
        <v>5481676.4684829284</v>
      </c>
      <c r="J174" s="155">
        <f>IF(D174="","",'Mx FORECAST'!DP112)</f>
        <v>0</v>
      </c>
      <c r="K174" s="155">
        <f>IF(D174="","",'Mx FORECAST'!DQ112)</f>
        <v>0</v>
      </c>
      <c r="M174" s="155">
        <f>IF(D174="","",'Mx FORECAST'!DR112)</f>
        <v>0</v>
      </c>
      <c r="O174" s="155">
        <f>IF(D174="","",'Mx FORECAST'!DS112)</f>
        <v>0</v>
      </c>
      <c r="Q174" s="155">
        <f>IF(D174="","",'Mx FORECAST'!DT112)</f>
        <v>0</v>
      </c>
      <c r="S174" s="155">
        <f>IF(D174="","",'Mx FORECAST'!DU112)</f>
        <v>0</v>
      </c>
      <c r="U174" s="155">
        <f>IF(D174="","",'Mx FORECAST'!DV112)</f>
        <v>0</v>
      </c>
      <c r="W174" s="540">
        <f>IF(D174="","",'Mx FORECAST'!DY112)</f>
        <v>7184907.0315170716</v>
      </c>
      <c r="X174" s="540"/>
      <c r="Y174" s="437">
        <f>IF(D174="","",'Mx FORECAST'!DZ112)</f>
        <v>0.56723322682213961</v>
      </c>
      <c r="AD174" s="155"/>
      <c r="AF174" s="155"/>
      <c r="AH174" s="155"/>
      <c r="AJ174" s="155"/>
      <c r="AK174" s="8"/>
      <c r="AL174" s="8"/>
      <c r="AM174" s="8"/>
      <c r="AN174" s="8"/>
      <c r="AO174" s="8"/>
      <c r="AP174" s="8"/>
      <c r="AQ174" s="8"/>
      <c r="AR174" s="8"/>
      <c r="AS174" s="8"/>
      <c r="AT174" s="8"/>
      <c r="AU174" s="8"/>
      <c r="AV174" s="8"/>
      <c r="AW174" s="8"/>
      <c r="AX174" s="8"/>
      <c r="AY174" s="8"/>
      <c r="AZ174" s="8"/>
      <c r="BZ174" s="9"/>
      <c r="CA174" s="9"/>
      <c r="CB174" s="9"/>
      <c r="DM174" s="44">
        <f t="shared" si="438"/>
        <v>168</v>
      </c>
      <c r="DN174" s="41">
        <f t="shared" si="412"/>
        <v>12801925.5</v>
      </c>
      <c r="DO174" s="41">
        <f t="shared" si="439"/>
        <v>164168.42521367522</v>
      </c>
      <c r="DP174" s="42">
        <f t="shared" si="413"/>
        <v>0</v>
      </c>
      <c r="DQ174" s="42">
        <f t="shared" si="414"/>
        <v>0</v>
      </c>
      <c r="DR174" s="42">
        <f t="shared" si="415"/>
        <v>0</v>
      </c>
      <c r="DS174" s="42">
        <f t="shared" si="416"/>
        <v>0</v>
      </c>
      <c r="DT174" s="42">
        <f t="shared" si="417"/>
        <v>0</v>
      </c>
      <c r="DU174" s="42">
        <f t="shared" si="418"/>
        <v>0</v>
      </c>
      <c r="DV174" s="42">
        <f t="shared" si="419"/>
        <v>0</v>
      </c>
      <c r="DW174" s="42">
        <f t="shared" si="420"/>
        <v>0</v>
      </c>
      <c r="DX174" s="42">
        <f t="shared" si="421"/>
        <v>5807755.0817307755</v>
      </c>
      <c r="DY174" s="42">
        <f>IF(DM174="",DY173,DN174-SUM($DO$6:DO174)+SUM($DP$6:DV174)-SUM($DW$6:DW174))</f>
        <v>6994170.4182692245</v>
      </c>
      <c r="DZ174" s="43">
        <f t="shared" si="440"/>
        <v>0.54633737856615594</v>
      </c>
      <c r="EA174" s="43"/>
      <c r="EB174" s="43" t="str">
        <f t="shared" si="398"/>
        <v>False</v>
      </c>
      <c r="EC174" s="41">
        <f t="shared" si="389"/>
        <v>264480</v>
      </c>
      <c r="ED174" s="41">
        <f t="shared" si="390"/>
        <v>686673.49999999988</v>
      </c>
      <c r="EE174" s="41">
        <f t="shared" si="422"/>
        <v>1037621.9999999999</v>
      </c>
      <c r="EF174" s="41">
        <f t="shared" si="441"/>
        <v>14693.333333333334</v>
      </c>
      <c r="EG174" s="42">
        <f t="shared" si="442"/>
        <v>9537.1319444444434</v>
      </c>
      <c r="EH174" s="42">
        <f t="shared" si="443"/>
        <v>7205.7083333333321</v>
      </c>
      <c r="EI174" s="42">
        <f t="shared" si="423"/>
        <v>88160</v>
      </c>
      <c r="EJ174" s="42">
        <f t="shared" si="424"/>
        <v>228891</v>
      </c>
      <c r="EK174" s="42">
        <f t="shared" si="425"/>
        <v>172937</v>
      </c>
      <c r="EL174" s="42">
        <f>IF(DM174="","",EC174-SUM($EF$6:EF174)+SUM($DP$6:DP174))</f>
        <v>176320.00000000233</v>
      </c>
      <c r="EM174" s="42">
        <f>IF(DM174="","",ED174-SUM($EG$6:EG174)+SUM($DQ$6:DQ174))</f>
        <v>457782.33333332825</v>
      </c>
      <c r="EN174" s="42">
        <f>IF(DM174="","",EE174-SUM($EH$6:EH174)+SUM($DR$6:DR174))</f>
        <v>864684.99999999779</v>
      </c>
      <c r="EO174" s="152">
        <f t="shared" si="426"/>
        <v>0.75362318840579468</v>
      </c>
      <c r="EP174" s="43"/>
      <c r="EQ174" s="42">
        <f t="shared" si="427"/>
        <v>448050</v>
      </c>
      <c r="ER174" s="42">
        <f t="shared" si="428"/>
        <v>248100</v>
      </c>
      <c r="ES174" s="42">
        <f t="shared" si="444"/>
        <v>3733.75</v>
      </c>
      <c r="ET174" s="42">
        <f t="shared" si="445"/>
        <v>6122.9807692307695</v>
      </c>
      <c r="EU174" s="42">
        <f t="shared" si="429"/>
        <v>179220</v>
      </c>
      <c r="EV174" s="42">
        <f t="shared" si="430"/>
        <v>36261</v>
      </c>
      <c r="EW174" s="42">
        <f>IF(DM174="","",IF(DS174&gt;0,DS174,EQ174-SUM($ES$6:ES174)+SUM($DS$6:DS174)))</f>
        <v>268830</v>
      </c>
      <c r="EX174" s="42">
        <f>IF(DM174="","",IF(DT174&gt;0,DT174,ER174-SUM($ET$6:ET174)+SUM($DT$6:DT174)))</f>
        <v>211839.23076923285</v>
      </c>
      <c r="EY174" s="43">
        <f t="shared" si="431"/>
        <v>0.85384615384616225</v>
      </c>
      <c r="EZ174" s="43">
        <f t="shared" si="432"/>
        <v>0.6</v>
      </c>
      <c r="FA174" s="43"/>
      <c r="FB174" s="42">
        <f t="shared" si="433"/>
        <v>4935000</v>
      </c>
      <c r="FC174" s="42">
        <f t="shared" si="434"/>
        <v>5182000</v>
      </c>
      <c r="FD174" s="41">
        <f t="shared" si="446"/>
        <v>89960.9375</v>
      </c>
      <c r="FE174" s="41">
        <f t="shared" si="447"/>
        <v>32914.583333333336</v>
      </c>
      <c r="FF174" s="42">
        <f t="shared" si="435"/>
        <v>2369216</v>
      </c>
      <c r="FG174" s="42">
        <f t="shared" si="436"/>
        <v>2733070</v>
      </c>
      <c r="FH174" s="42">
        <f>IF(DM174="","",IF(DU174&gt;0,DU174,FB174-SUM($FD$6:FD174)+SUM($DU$6:DU174)))</f>
        <v>2565783.8541666642</v>
      </c>
      <c r="FI174" s="42">
        <f>IF(DM174="","",FC174-SUM($FE$6:FE174)+SUM($DV$6:DV174)-SUM($DW$6:DW174))</f>
        <v>2448930.0000000047</v>
      </c>
      <c r="FJ174" s="152">
        <f t="shared" si="437"/>
        <v>0.49567202275048622</v>
      </c>
      <c r="FN174" s="8"/>
      <c r="FO174" s="8"/>
      <c r="FP174" s="8"/>
      <c r="FQ174" s="8"/>
      <c r="FR174" s="8"/>
      <c r="FS174" s="8"/>
      <c r="FT174" s="8"/>
      <c r="FU174" s="8"/>
      <c r="GC174" s="68">
        <f t="shared" si="401"/>
        <v>169</v>
      </c>
      <c r="GD174" s="78">
        <f t="shared" si="402"/>
        <v>0</v>
      </c>
      <c r="GE174" s="309">
        <f t="shared" si="403"/>
        <v>0.53351364941590607</v>
      </c>
      <c r="GF174" s="78">
        <f t="shared" si="404"/>
        <v>0</v>
      </c>
      <c r="GG174" s="310">
        <f t="shared" si="405"/>
        <v>0.73781638989529852</v>
      </c>
      <c r="GH174" s="78">
        <f t="shared" si="406"/>
        <v>0</v>
      </c>
      <c r="GI174" s="310">
        <f t="shared" si="407"/>
        <v>0.59166666666666667</v>
      </c>
      <c r="GJ174" s="311">
        <f t="shared" si="408"/>
        <v>0</v>
      </c>
      <c r="GK174" s="310">
        <f t="shared" si="409"/>
        <v>0.82916666666667516</v>
      </c>
      <c r="GL174" s="311">
        <f t="shared" si="410"/>
        <v>0</v>
      </c>
      <c r="GM174" s="310">
        <f t="shared" si="411"/>
        <v>0.4835265724358343</v>
      </c>
      <c r="GQ174" s="8"/>
      <c r="HD174" s="13"/>
      <c r="HE174" s="24"/>
      <c r="HF174" s="13"/>
      <c r="HG174" s="14"/>
      <c r="HH174" s="13"/>
      <c r="HI174" s="13"/>
      <c r="HJ174" s="13"/>
      <c r="HK174" s="13"/>
      <c r="HL174" s="13"/>
      <c r="HM174" s="14"/>
      <c r="HN174" s="13"/>
      <c r="HO174" s="13"/>
    </row>
    <row r="175" spans="3:223" x14ac:dyDescent="0.2">
      <c r="C175" s="426">
        <f t="shared" si="346"/>
        <v>44531</v>
      </c>
      <c r="D175" s="155">
        <f t="shared" si="347"/>
        <v>107</v>
      </c>
      <c r="E175" s="155">
        <f t="shared" si="399"/>
        <v>12666583.5</v>
      </c>
      <c r="F175" s="155"/>
      <c r="G175" s="438">
        <f t="shared" si="400"/>
        <v>163228.55021367522</v>
      </c>
      <c r="I175" s="444">
        <f>IF(D175="","",'Mx FORECAST'!DX113)</f>
        <v>5644905.0186966043</v>
      </c>
      <c r="J175" s="155">
        <f>IF(D175="","",'Mx FORECAST'!DP113)</f>
        <v>0</v>
      </c>
      <c r="K175" s="155">
        <f>IF(D175="","",'Mx FORECAST'!DQ113)</f>
        <v>0</v>
      </c>
      <c r="M175" s="155">
        <f>IF(D175="","",'Mx FORECAST'!DR113)</f>
        <v>0</v>
      </c>
      <c r="O175" s="155">
        <f>IF(D175="","",'Mx FORECAST'!DS113)</f>
        <v>0</v>
      </c>
      <c r="Q175" s="155">
        <f>IF(D175="","",'Mx FORECAST'!DT113)</f>
        <v>0</v>
      </c>
      <c r="S175" s="155">
        <f>IF(D175="","",'Mx FORECAST'!DU113)</f>
        <v>0</v>
      </c>
      <c r="U175" s="155">
        <f>IF(D175="","",'Mx FORECAST'!DV113)</f>
        <v>0</v>
      </c>
      <c r="W175" s="540">
        <f>IF(D175="","",'Mx FORECAST'!DY113)</f>
        <v>7021678.4813033957</v>
      </c>
      <c r="X175" s="540"/>
      <c r="Y175" s="437">
        <f>IF(D175="","",'Mx FORECAST'!DZ113)</f>
        <v>0.55434667772121782</v>
      </c>
      <c r="AD175" s="155"/>
      <c r="AF175" s="155"/>
      <c r="AH175" s="155"/>
      <c r="AJ175" s="155"/>
      <c r="AK175" s="8"/>
      <c r="AL175" s="8"/>
      <c r="AM175" s="8"/>
      <c r="AN175" s="8"/>
      <c r="AO175" s="8"/>
      <c r="AP175" s="8"/>
      <c r="AQ175" s="8"/>
      <c r="AR175" s="8"/>
      <c r="AS175" s="8"/>
      <c r="AT175" s="8"/>
      <c r="AU175" s="8"/>
      <c r="AV175" s="8"/>
      <c r="AW175" s="8"/>
      <c r="AX175" s="8"/>
      <c r="AY175" s="8"/>
      <c r="AZ175" s="8"/>
      <c r="BZ175" s="9"/>
      <c r="CA175" s="9"/>
      <c r="CB175" s="9"/>
      <c r="DM175" s="44">
        <f t="shared" si="438"/>
        <v>169</v>
      </c>
      <c r="DN175" s="41">
        <f t="shared" si="412"/>
        <v>12801925.5</v>
      </c>
      <c r="DO175" s="41">
        <f t="shared" si="439"/>
        <v>164168.42521367522</v>
      </c>
      <c r="DP175" s="42">
        <f t="shared" si="413"/>
        <v>0</v>
      </c>
      <c r="DQ175" s="42">
        <f t="shared" si="414"/>
        <v>0</v>
      </c>
      <c r="DR175" s="42">
        <f t="shared" si="415"/>
        <v>0</v>
      </c>
      <c r="DS175" s="42">
        <f t="shared" si="416"/>
        <v>0</v>
      </c>
      <c r="DT175" s="42">
        <f t="shared" si="417"/>
        <v>0</v>
      </c>
      <c r="DU175" s="42">
        <f t="shared" si="418"/>
        <v>0</v>
      </c>
      <c r="DV175" s="42">
        <f t="shared" si="419"/>
        <v>0</v>
      </c>
      <c r="DW175" s="42">
        <f t="shared" si="420"/>
        <v>0</v>
      </c>
      <c r="DX175" s="42">
        <f t="shared" si="421"/>
        <v>5971923.5069444515</v>
      </c>
      <c r="DY175" s="42">
        <f>IF(DM175="",DY174,DN175-SUM($DO$6:DO175)+SUM($DP$6:DV175)-SUM($DW$6:DW175))</f>
        <v>6830001.9930555485</v>
      </c>
      <c r="DZ175" s="43">
        <f t="shared" si="440"/>
        <v>0.53351364941590607</v>
      </c>
      <c r="EA175" s="43"/>
      <c r="EB175" s="43" t="str">
        <f t="shared" si="398"/>
        <v>False</v>
      </c>
      <c r="EC175" s="41">
        <f t="shared" si="389"/>
        <v>264480</v>
      </c>
      <c r="ED175" s="41">
        <f t="shared" si="390"/>
        <v>686673.49999999988</v>
      </c>
      <c r="EE175" s="41">
        <f t="shared" si="422"/>
        <v>1037621.9999999999</v>
      </c>
      <c r="EF175" s="41">
        <f t="shared" si="441"/>
        <v>14693.333333333334</v>
      </c>
      <c r="EG175" s="42">
        <f t="shared" si="442"/>
        <v>9537.1319444444434</v>
      </c>
      <c r="EH175" s="42">
        <f t="shared" si="443"/>
        <v>7205.7083333333321</v>
      </c>
      <c r="EI175" s="42">
        <f t="shared" si="423"/>
        <v>102853</v>
      </c>
      <c r="EJ175" s="42">
        <f t="shared" si="424"/>
        <v>238428</v>
      </c>
      <c r="EK175" s="42">
        <f t="shared" si="425"/>
        <v>180143</v>
      </c>
      <c r="EL175" s="42">
        <f>IF(DM175="","",EC175-SUM($EF$6:EF175)+SUM($DP$6:DP175))</f>
        <v>161626.66666666884</v>
      </c>
      <c r="EM175" s="42">
        <f>IF(DM175="","",ED175-SUM($EG$6:EG175)+SUM($DQ$6:DQ175))</f>
        <v>448245.20138888375</v>
      </c>
      <c r="EN175" s="42">
        <f>IF(DM175="","",EE175-SUM($EH$6:EH175)+SUM($DR$6:DR175))</f>
        <v>857479.29166666453</v>
      </c>
      <c r="EO175" s="152">
        <f t="shared" si="426"/>
        <v>0.73781638989529852</v>
      </c>
      <c r="EP175" s="43"/>
      <c r="EQ175" s="42">
        <f t="shared" si="427"/>
        <v>448050</v>
      </c>
      <c r="ER175" s="42">
        <f t="shared" si="428"/>
        <v>248100</v>
      </c>
      <c r="ES175" s="42">
        <f t="shared" si="444"/>
        <v>3733.75</v>
      </c>
      <c r="ET175" s="42">
        <f t="shared" si="445"/>
        <v>6122.9807692307695</v>
      </c>
      <c r="EU175" s="42">
        <f t="shared" si="429"/>
        <v>182954</v>
      </c>
      <c r="EV175" s="42">
        <f t="shared" si="430"/>
        <v>42384</v>
      </c>
      <c r="EW175" s="42">
        <f>IF(DM175="","",IF(DS175&gt;0,DS175,EQ175-SUM($ES$6:ES175)+SUM($DS$6:DS175)))</f>
        <v>265096.25</v>
      </c>
      <c r="EX175" s="42">
        <f>IF(DM175="","",IF(DT175&gt;0,DT175,ER175-SUM($ET$6:ET175)+SUM($DT$6:DT175)))</f>
        <v>205716.2500000021</v>
      </c>
      <c r="EY175" s="43">
        <f t="shared" si="431"/>
        <v>0.82916666666667516</v>
      </c>
      <c r="EZ175" s="43">
        <f t="shared" si="432"/>
        <v>0.59166666666666667</v>
      </c>
      <c r="FA175" s="43"/>
      <c r="FB175" s="42">
        <f t="shared" si="433"/>
        <v>4935000</v>
      </c>
      <c r="FC175" s="42">
        <f t="shared" si="434"/>
        <v>5182000</v>
      </c>
      <c r="FD175" s="41">
        <f t="shared" si="446"/>
        <v>89960.9375</v>
      </c>
      <c r="FE175" s="41">
        <f t="shared" si="447"/>
        <v>32914.583333333336</v>
      </c>
      <c r="FF175" s="42">
        <f t="shared" si="435"/>
        <v>2459177</v>
      </c>
      <c r="FG175" s="42">
        <f t="shared" si="436"/>
        <v>2765985</v>
      </c>
      <c r="FH175" s="42">
        <f>IF(DM175="","",IF(DU175&gt;0,DU175,FB175-SUM($FD$6:FD175)+SUM($DU$6:DU175)))</f>
        <v>2475822.9166666642</v>
      </c>
      <c r="FI175" s="42">
        <f>IF(DM175="","",FC175-SUM($FE$6:FE175)+SUM($DV$6:DV175)-SUM($DW$6:DW175))</f>
        <v>2416015.4166666716</v>
      </c>
      <c r="FJ175" s="152">
        <f t="shared" si="437"/>
        <v>0.4835265724358343</v>
      </c>
      <c r="FN175" s="8"/>
      <c r="FO175" s="8"/>
      <c r="FP175" s="8"/>
      <c r="FQ175" s="8"/>
      <c r="FR175" s="8"/>
      <c r="FS175" s="8"/>
      <c r="FT175" s="8"/>
      <c r="FU175" s="8"/>
      <c r="GC175" s="68">
        <f t="shared" si="401"/>
        <v>170</v>
      </c>
      <c r="GD175" s="78">
        <f t="shared" si="402"/>
        <v>0</v>
      </c>
      <c r="GE175" s="309">
        <f t="shared" si="403"/>
        <v>0.5206899202656563</v>
      </c>
      <c r="GF175" s="78">
        <f t="shared" si="404"/>
        <v>0</v>
      </c>
      <c r="GG175" s="310">
        <f t="shared" si="405"/>
        <v>0.72200959138480236</v>
      </c>
      <c r="GH175" s="78">
        <f t="shared" si="406"/>
        <v>0</v>
      </c>
      <c r="GI175" s="310">
        <f t="shared" si="407"/>
        <v>0.58333333333333337</v>
      </c>
      <c r="GJ175" s="311">
        <f t="shared" si="408"/>
        <v>0</v>
      </c>
      <c r="GK175" s="310">
        <f t="shared" si="409"/>
        <v>0.80448717948718795</v>
      </c>
      <c r="GL175" s="311">
        <f t="shared" si="410"/>
        <v>0</v>
      </c>
      <c r="GM175" s="310">
        <f t="shared" si="411"/>
        <v>0.47138112212118244</v>
      </c>
      <c r="GQ175" s="8"/>
      <c r="HD175" s="13"/>
      <c r="HE175" s="24"/>
      <c r="HF175" s="13"/>
      <c r="HG175" s="14"/>
      <c r="HH175" s="13"/>
      <c r="HI175" s="13"/>
      <c r="HJ175" s="13"/>
      <c r="HK175" s="13"/>
      <c r="HL175" s="13"/>
      <c r="HM175" s="14"/>
      <c r="HN175" s="13"/>
      <c r="HO175" s="13"/>
    </row>
    <row r="176" spans="3:223" x14ac:dyDescent="0.2">
      <c r="C176" s="426">
        <f t="shared" si="346"/>
        <v>44562</v>
      </c>
      <c r="D176" s="155">
        <f t="shared" si="347"/>
        <v>108</v>
      </c>
      <c r="E176" s="155">
        <f t="shared" si="399"/>
        <v>12666583.5</v>
      </c>
      <c r="F176" s="155"/>
      <c r="G176" s="438">
        <f t="shared" si="400"/>
        <v>163228.55021367522</v>
      </c>
      <c r="I176" s="444">
        <f>IF(D176="","",'Mx FORECAST'!DX114)</f>
        <v>5543653.5689102802</v>
      </c>
      <c r="J176" s="155">
        <f>IF(D176="","",'Mx FORECAST'!DP114)</f>
        <v>264480</v>
      </c>
      <c r="K176" s="155">
        <f>IF(D176="","",'Mx FORECAST'!DQ114)</f>
        <v>0</v>
      </c>
      <c r="M176" s="155">
        <f>IF(D176="","",'Mx FORECAST'!DR114)</f>
        <v>0</v>
      </c>
      <c r="O176" s="155">
        <f>IF(D176="","",'Mx FORECAST'!DS114)</f>
        <v>0</v>
      </c>
      <c r="Q176" s="155">
        <f>IF(D176="","",'Mx FORECAST'!DT114)</f>
        <v>0</v>
      </c>
      <c r="S176" s="155">
        <f>IF(D176="","",'Mx FORECAST'!DU114)</f>
        <v>0</v>
      </c>
      <c r="U176" s="155">
        <f>IF(D176="","",'Mx FORECAST'!DV114)</f>
        <v>0</v>
      </c>
      <c r="W176" s="540">
        <f>IF(D176="","",'Mx FORECAST'!DY114)</f>
        <v>7122929.9310897198</v>
      </c>
      <c r="X176" s="540"/>
      <c r="Y176" s="437">
        <f>IF(D176="","",'Mx FORECAST'!DZ114)</f>
        <v>0.56234026571488038</v>
      </c>
      <c r="AD176" s="155"/>
      <c r="AF176" s="155"/>
      <c r="AH176" s="155"/>
      <c r="AJ176" s="155"/>
      <c r="AK176" s="8"/>
      <c r="AL176" s="8"/>
      <c r="AM176" s="8"/>
      <c r="AN176" s="8"/>
      <c r="AO176" s="8"/>
      <c r="AP176" s="8"/>
      <c r="AQ176" s="8"/>
      <c r="AR176" s="8"/>
      <c r="AS176" s="8"/>
      <c r="AT176" s="8"/>
      <c r="AU176" s="8"/>
      <c r="AV176" s="8"/>
      <c r="AW176" s="8"/>
      <c r="AX176" s="8"/>
      <c r="AY176" s="8"/>
      <c r="AZ176" s="8"/>
      <c r="BZ176" s="9"/>
      <c r="CA176" s="9"/>
      <c r="CB176" s="9"/>
      <c r="DM176" s="44">
        <f t="shared" si="438"/>
        <v>170</v>
      </c>
      <c r="DN176" s="41">
        <f t="shared" si="412"/>
        <v>12801925.5</v>
      </c>
      <c r="DO176" s="41">
        <f t="shared" si="439"/>
        <v>164168.42521367522</v>
      </c>
      <c r="DP176" s="42">
        <f t="shared" si="413"/>
        <v>0</v>
      </c>
      <c r="DQ176" s="42">
        <f t="shared" si="414"/>
        <v>0</v>
      </c>
      <c r="DR176" s="42">
        <f t="shared" si="415"/>
        <v>0</v>
      </c>
      <c r="DS176" s="42">
        <f t="shared" si="416"/>
        <v>0</v>
      </c>
      <c r="DT176" s="42">
        <f t="shared" si="417"/>
        <v>0</v>
      </c>
      <c r="DU176" s="42">
        <f t="shared" si="418"/>
        <v>0</v>
      </c>
      <c r="DV176" s="42">
        <f t="shared" si="419"/>
        <v>0</v>
      </c>
      <c r="DW176" s="42">
        <f t="shared" si="420"/>
        <v>0</v>
      </c>
      <c r="DX176" s="42">
        <f t="shared" si="421"/>
        <v>6136091.9321581274</v>
      </c>
      <c r="DY176" s="42">
        <f>IF(DM176="",DY175,DN176-SUM($DO$6:DO176)+SUM($DP$6:DV176)-SUM($DW$6:DW176))</f>
        <v>6665833.5678418726</v>
      </c>
      <c r="DZ176" s="43">
        <f t="shared" si="440"/>
        <v>0.5206899202656563</v>
      </c>
      <c r="EA176" s="43"/>
      <c r="EB176" s="43" t="str">
        <f t="shared" si="398"/>
        <v>False</v>
      </c>
      <c r="EC176" s="41">
        <f t="shared" si="389"/>
        <v>264480</v>
      </c>
      <c r="ED176" s="41">
        <f t="shared" si="390"/>
        <v>686673.49999999988</v>
      </c>
      <c r="EE176" s="41">
        <f t="shared" si="422"/>
        <v>1037621.9999999999</v>
      </c>
      <c r="EF176" s="41">
        <f t="shared" si="441"/>
        <v>14693.333333333334</v>
      </c>
      <c r="EG176" s="42">
        <f t="shared" si="442"/>
        <v>9537.1319444444434</v>
      </c>
      <c r="EH176" s="42">
        <f t="shared" si="443"/>
        <v>7205.7083333333321</v>
      </c>
      <c r="EI176" s="42">
        <f t="shared" si="423"/>
        <v>117547</v>
      </c>
      <c r="EJ176" s="42">
        <f t="shared" si="424"/>
        <v>247965</v>
      </c>
      <c r="EK176" s="42">
        <f t="shared" si="425"/>
        <v>187348</v>
      </c>
      <c r="EL176" s="42">
        <f>IF(DM176="","",EC176-SUM($EF$6:EF176)+SUM($DP$6:DP176))</f>
        <v>146933.33333333535</v>
      </c>
      <c r="EM176" s="42">
        <f>IF(DM176="","",ED176-SUM($EG$6:EG176)+SUM($DQ$6:DQ176))</f>
        <v>438708.06944443926</v>
      </c>
      <c r="EN176" s="42">
        <f>IF(DM176="","",EE176-SUM($EH$6:EH176)+SUM($DR$6:DR176))</f>
        <v>850273.58333333128</v>
      </c>
      <c r="EO176" s="152">
        <f t="shared" si="426"/>
        <v>0.72200959138480236</v>
      </c>
      <c r="EP176" s="43"/>
      <c r="EQ176" s="42">
        <f t="shared" si="427"/>
        <v>448050</v>
      </c>
      <c r="ER176" s="42">
        <f t="shared" si="428"/>
        <v>248100</v>
      </c>
      <c r="ES176" s="42">
        <f t="shared" si="444"/>
        <v>3733.75</v>
      </c>
      <c r="ET176" s="42">
        <f t="shared" si="445"/>
        <v>6122.9807692307695</v>
      </c>
      <c r="EU176" s="42">
        <f t="shared" si="429"/>
        <v>186688</v>
      </c>
      <c r="EV176" s="42">
        <f t="shared" si="430"/>
        <v>48507</v>
      </c>
      <c r="EW176" s="42">
        <f>IF(DM176="","",IF(DS176&gt;0,DS176,EQ176-SUM($ES$6:ES176)+SUM($DS$6:DS176)))</f>
        <v>261362.5</v>
      </c>
      <c r="EX176" s="42">
        <f>IF(DM176="","",IF(DT176&gt;0,DT176,ER176-SUM($ET$6:ET176)+SUM($DT$6:DT176)))</f>
        <v>199593.26923077134</v>
      </c>
      <c r="EY176" s="43">
        <f t="shared" si="431"/>
        <v>0.80448717948718795</v>
      </c>
      <c r="EZ176" s="43">
        <f t="shared" si="432"/>
        <v>0.58333333333333337</v>
      </c>
      <c r="FA176" s="43"/>
      <c r="FB176" s="42">
        <f t="shared" si="433"/>
        <v>4935000</v>
      </c>
      <c r="FC176" s="42">
        <f t="shared" si="434"/>
        <v>5182000</v>
      </c>
      <c r="FD176" s="41">
        <f t="shared" si="446"/>
        <v>89960.9375</v>
      </c>
      <c r="FE176" s="41">
        <f t="shared" si="447"/>
        <v>32914.583333333336</v>
      </c>
      <c r="FF176" s="42">
        <f t="shared" si="435"/>
        <v>2549138</v>
      </c>
      <c r="FG176" s="42">
        <f t="shared" si="436"/>
        <v>2798899</v>
      </c>
      <c r="FH176" s="42">
        <f>IF(DM176="","",IF(DU176&gt;0,DU176,FB176-SUM($FD$6:FD176)+SUM($DU$6:DU176)))</f>
        <v>2385861.9791666642</v>
      </c>
      <c r="FI176" s="42">
        <f>IF(DM176="","",FC176-SUM($FE$6:FE176)+SUM($DV$6:DV176)-SUM($DW$6:DW176))</f>
        <v>2383100.8333333386</v>
      </c>
      <c r="FJ176" s="152">
        <f t="shared" si="437"/>
        <v>0.47138112212118244</v>
      </c>
      <c r="FN176" s="8"/>
      <c r="FO176" s="8"/>
      <c r="FP176" s="8"/>
      <c r="FQ176" s="8"/>
      <c r="FR176" s="8"/>
      <c r="FS176" s="8"/>
      <c r="FT176" s="8"/>
      <c r="FU176" s="8"/>
      <c r="GC176" s="68">
        <f t="shared" si="401"/>
        <v>171</v>
      </c>
      <c r="GD176" s="78">
        <f t="shared" si="402"/>
        <v>0</v>
      </c>
      <c r="GE176" s="309">
        <f t="shared" si="403"/>
        <v>0.50786619111540654</v>
      </c>
      <c r="GF176" s="78">
        <f t="shared" si="404"/>
        <v>0</v>
      </c>
      <c r="GG176" s="310">
        <f t="shared" si="405"/>
        <v>0.70620279287430621</v>
      </c>
      <c r="GH176" s="78">
        <f t="shared" si="406"/>
        <v>0</v>
      </c>
      <c r="GI176" s="310">
        <f t="shared" si="407"/>
        <v>0.57499999999999996</v>
      </c>
      <c r="GJ176" s="311">
        <f t="shared" si="408"/>
        <v>0</v>
      </c>
      <c r="GK176" s="310">
        <f t="shared" si="409"/>
        <v>0.77980769230770086</v>
      </c>
      <c r="GL176" s="311">
        <f t="shared" si="410"/>
        <v>0</v>
      </c>
      <c r="GM176" s="310">
        <f t="shared" si="411"/>
        <v>0.45923567180653058</v>
      </c>
      <c r="GQ176" s="8"/>
      <c r="HD176" s="13"/>
      <c r="HE176" s="24"/>
      <c r="HF176" s="13"/>
      <c r="HG176" s="14"/>
      <c r="HH176" s="13"/>
      <c r="HI176" s="13"/>
      <c r="HJ176" s="13"/>
      <c r="HK176" s="13"/>
      <c r="HL176" s="13"/>
      <c r="HM176" s="14"/>
      <c r="HN176" s="13"/>
      <c r="HO176" s="13"/>
    </row>
    <row r="177" spans="3:223" x14ac:dyDescent="0.2">
      <c r="C177" s="426">
        <f t="shared" si="346"/>
        <v>44593</v>
      </c>
      <c r="D177" s="155">
        <f t="shared" si="347"/>
        <v>109</v>
      </c>
      <c r="E177" s="155">
        <f t="shared" si="399"/>
        <v>12624583.5</v>
      </c>
      <c r="F177" s="155"/>
      <c r="G177" s="438">
        <f t="shared" si="400"/>
        <v>160895.21688034188</v>
      </c>
      <c r="I177" s="444">
        <f>IF(D177="","",'Mx FORECAST'!DX115)</f>
        <v>5704548.7857906222</v>
      </c>
      <c r="J177" s="155">
        <f>IF(D177="","",'Mx FORECAST'!DP115)</f>
        <v>0</v>
      </c>
      <c r="K177" s="155">
        <f>IF(D177="","",'Mx FORECAST'!DQ115)</f>
        <v>0</v>
      </c>
      <c r="M177" s="155">
        <f>IF(D177="","",'Mx FORECAST'!DR115)</f>
        <v>0</v>
      </c>
      <c r="O177" s="155">
        <f>IF(D177="","",'Mx FORECAST'!DS115)</f>
        <v>0</v>
      </c>
      <c r="Q177" s="155">
        <f>IF(D177="","",'Mx FORECAST'!DT115)</f>
        <v>0</v>
      </c>
      <c r="S177" s="155">
        <f>IF(D177="","",'Mx FORECAST'!DU115)</f>
        <v>0</v>
      </c>
      <c r="U177" s="155">
        <f>IF(D177="","",'Mx FORECAST'!DV115)</f>
        <v>0</v>
      </c>
      <c r="W177" s="540">
        <f>IF(D177="","",'Mx FORECAST'!DY115)</f>
        <v>6920034.7142093778</v>
      </c>
      <c r="X177" s="540"/>
      <c r="Y177" s="437">
        <f>IF(D177="","",'Mx FORECAST'!DZ115)</f>
        <v>0.54813964470268484</v>
      </c>
      <c r="AD177" s="155"/>
      <c r="AF177" s="155"/>
      <c r="AH177" s="155"/>
      <c r="AJ177" s="155"/>
      <c r="AK177" s="8"/>
      <c r="AL177" s="8"/>
      <c r="AM177" s="8"/>
      <c r="AN177" s="8"/>
      <c r="AO177" s="8"/>
      <c r="AP177" s="8"/>
      <c r="AQ177" s="8"/>
      <c r="AR177" s="8"/>
      <c r="AS177" s="8"/>
      <c r="AT177" s="8"/>
      <c r="AU177" s="8"/>
      <c r="AV177" s="8"/>
      <c r="AW177" s="8"/>
      <c r="AX177" s="8"/>
      <c r="AY177" s="8"/>
      <c r="AZ177" s="8"/>
      <c r="BZ177" s="9"/>
      <c r="CA177" s="9"/>
      <c r="CB177" s="9"/>
      <c r="DM177" s="44">
        <f t="shared" si="438"/>
        <v>171</v>
      </c>
      <c r="DN177" s="41">
        <f t="shared" si="412"/>
        <v>12801925.5</v>
      </c>
      <c r="DO177" s="41">
        <f t="shared" si="439"/>
        <v>164168.42521367522</v>
      </c>
      <c r="DP177" s="42">
        <f t="shared" si="413"/>
        <v>0</v>
      </c>
      <c r="DQ177" s="42">
        <f t="shared" si="414"/>
        <v>0</v>
      </c>
      <c r="DR177" s="42">
        <f t="shared" si="415"/>
        <v>0</v>
      </c>
      <c r="DS177" s="42">
        <f t="shared" si="416"/>
        <v>0</v>
      </c>
      <c r="DT177" s="42">
        <f t="shared" si="417"/>
        <v>0</v>
      </c>
      <c r="DU177" s="42">
        <f t="shared" si="418"/>
        <v>0</v>
      </c>
      <c r="DV177" s="42">
        <f t="shared" si="419"/>
        <v>0</v>
      </c>
      <c r="DW177" s="42">
        <f t="shared" si="420"/>
        <v>0</v>
      </c>
      <c r="DX177" s="42">
        <f t="shared" si="421"/>
        <v>6300260.3573718034</v>
      </c>
      <c r="DY177" s="42">
        <f>IF(DM177="",DY176,DN177-SUM($DO$6:DO177)+SUM($DP$6:DV177)-SUM($DW$6:DW177))</f>
        <v>6501665.1426281966</v>
      </c>
      <c r="DZ177" s="43">
        <f t="shared" si="440"/>
        <v>0.50786619111540654</v>
      </c>
      <c r="EA177" s="43"/>
      <c r="EB177" s="43" t="str">
        <f t="shared" si="398"/>
        <v>False</v>
      </c>
      <c r="EC177" s="41">
        <f t="shared" si="389"/>
        <v>264480</v>
      </c>
      <c r="ED177" s="41">
        <f t="shared" si="390"/>
        <v>686673.49999999988</v>
      </c>
      <c r="EE177" s="41">
        <f t="shared" si="422"/>
        <v>1037621.9999999999</v>
      </c>
      <c r="EF177" s="41">
        <f t="shared" si="441"/>
        <v>14693.333333333334</v>
      </c>
      <c r="EG177" s="42">
        <f t="shared" si="442"/>
        <v>9537.1319444444434</v>
      </c>
      <c r="EH177" s="42">
        <f t="shared" si="443"/>
        <v>7205.7083333333321</v>
      </c>
      <c r="EI177" s="42">
        <f t="shared" si="423"/>
        <v>132240</v>
      </c>
      <c r="EJ177" s="42">
        <f t="shared" si="424"/>
        <v>257503</v>
      </c>
      <c r="EK177" s="42">
        <f t="shared" si="425"/>
        <v>194554</v>
      </c>
      <c r="EL177" s="42">
        <f>IF(DM177="","",EC177-SUM($EF$6:EF177)+SUM($DP$6:DP177))</f>
        <v>132240.00000000186</v>
      </c>
      <c r="EM177" s="42">
        <f>IF(DM177="","",ED177-SUM($EG$6:EG177)+SUM($DQ$6:DQ177))</f>
        <v>429170.93749999476</v>
      </c>
      <c r="EN177" s="42">
        <f>IF(DM177="","",EE177-SUM($EH$6:EH177)+SUM($DR$6:DR177))</f>
        <v>843067.87499999802</v>
      </c>
      <c r="EO177" s="152">
        <f t="shared" si="426"/>
        <v>0.70620279287430621</v>
      </c>
      <c r="EP177" s="43"/>
      <c r="EQ177" s="42">
        <f t="shared" si="427"/>
        <v>448050</v>
      </c>
      <c r="ER177" s="42">
        <f t="shared" si="428"/>
        <v>248100</v>
      </c>
      <c r="ES177" s="42">
        <f t="shared" si="444"/>
        <v>3733.75</v>
      </c>
      <c r="ET177" s="42">
        <f t="shared" si="445"/>
        <v>6122.9807692307695</v>
      </c>
      <c r="EU177" s="42">
        <f t="shared" si="429"/>
        <v>190421</v>
      </c>
      <c r="EV177" s="42">
        <f t="shared" si="430"/>
        <v>54630</v>
      </c>
      <c r="EW177" s="42">
        <f>IF(DM177="","",IF(DS177&gt;0,DS177,EQ177-SUM($ES$6:ES177)+SUM($DS$6:DS177)))</f>
        <v>257628.75</v>
      </c>
      <c r="EX177" s="42">
        <f>IF(DM177="","",IF(DT177&gt;0,DT177,ER177-SUM($ET$6:ET177)+SUM($DT$6:DT177)))</f>
        <v>193470.28846154059</v>
      </c>
      <c r="EY177" s="43">
        <f t="shared" si="431"/>
        <v>0.77980769230770086</v>
      </c>
      <c r="EZ177" s="43">
        <f t="shared" si="432"/>
        <v>0.57499999999999996</v>
      </c>
      <c r="FA177" s="43"/>
      <c r="FB177" s="42">
        <f t="shared" si="433"/>
        <v>4935000</v>
      </c>
      <c r="FC177" s="42">
        <f t="shared" si="434"/>
        <v>5182000</v>
      </c>
      <c r="FD177" s="41">
        <f t="shared" si="446"/>
        <v>89960.9375</v>
      </c>
      <c r="FE177" s="41">
        <f t="shared" si="447"/>
        <v>32914.583333333336</v>
      </c>
      <c r="FF177" s="42">
        <f t="shared" si="435"/>
        <v>2639099</v>
      </c>
      <c r="FG177" s="42">
        <f t="shared" si="436"/>
        <v>2831814</v>
      </c>
      <c r="FH177" s="42">
        <f>IF(DM177="","",IF(DU177&gt;0,DU177,FB177-SUM($FD$6:FD177)+SUM($DU$6:DU177)))</f>
        <v>2295901.0416666642</v>
      </c>
      <c r="FI177" s="42">
        <f>IF(DM177="","",FC177-SUM($FE$6:FE177)+SUM($DV$6:DV177)-SUM($DW$6:DW177))</f>
        <v>2350186.2500000056</v>
      </c>
      <c r="FJ177" s="152">
        <f t="shared" si="437"/>
        <v>0.45923567180653058</v>
      </c>
      <c r="FN177" s="8"/>
      <c r="FO177" s="8"/>
      <c r="FP177" s="8"/>
      <c r="FQ177" s="8"/>
      <c r="FR177" s="8"/>
      <c r="FS177" s="8"/>
      <c r="FT177" s="8"/>
      <c r="FU177" s="8"/>
      <c r="GC177" s="68">
        <f t="shared" si="401"/>
        <v>172</v>
      </c>
      <c r="GD177" s="78">
        <f t="shared" si="402"/>
        <v>0</v>
      </c>
      <c r="GE177" s="309">
        <f t="shared" si="403"/>
        <v>0.49504246196515678</v>
      </c>
      <c r="GF177" s="78">
        <f t="shared" si="404"/>
        <v>0</v>
      </c>
      <c r="GG177" s="310">
        <f t="shared" si="405"/>
        <v>0.69039599436381005</v>
      </c>
      <c r="GH177" s="78">
        <f t="shared" si="406"/>
        <v>0</v>
      </c>
      <c r="GI177" s="310">
        <f t="shared" si="407"/>
        <v>0.56666666666666665</v>
      </c>
      <c r="GJ177" s="311">
        <f t="shared" si="408"/>
        <v>0</v>
      </c>
      <c r="GK177" s="310">
        <f t="shared" si="409"/>
        <v>0.75512820512821377</v>
      </c>
      <c r="GL177" s="311">
        <f t="shared" si="410"/>
        <v>0</v>
      </c>
      <c r="GM177" s="310">
        <f t="shared" si="411"/>
        <v>0.44709022149187871</v>
      </c>
      <c r="GQ177" s="8"/>
      <c r="HD177" s="13"/>
      <c r="HE177" s="24"/>
      <c r="HF177" s="13"/>
      <c r="HG177" s="14"/>
      <c r="HH177" s="13"/>
      <c r="HI177" s="13"/>
      <c r="HJ177" s="13"/>
      <c r="HK177" s="13"/>
      <c r="HL177" s="13"/>
      <c r="HM177" s="14"/>
      <c r="HN177" s="13"/>
      <c r="HO177" s="13"/>
    </row>
    <row r="178" spans="3:223" x14ac:dyDescent="0.2">
      <c r="C178" s="426">
        <f t="shared" si="346"/>
        <v>44621</v>
      </c>
      <c r="D178" s="155">
        <f t="shared" si="347"/>
        <v>110</v>
      </c>
      <c r="E178" s="155">
        <f t="shared" si="399"/>
        <v>12624583.5</v>
      </c>
      <c r="F178" s="155"/>
      <c r="G178" s="438">
        <f t="shared" si="400"/>
        <v>160895.21688034188</v>
      </c>
      <c r="I178" s="444">
        <f>IF(D178="","",'Mx FORECAST'!DX116)</f>
        <v>5865444.0026709642</v>
      </c>
      <c r="J178" s="155">
        <f>IF(D178="","",'Mx FORECAST'!DP116)</f>
        <v>0</v>
      </c>
      <c r="K178" s="155">
        <f>IF(D178="","",'Mx FORECAST'!DQ116)</f>
        <v>0</v>
      </c>
      <c r="M178" s="155">
        <f>IF(D178="","",'Mx FORECAST'!DR116)</f>
        <v>0</v>
      </c>
      <c r="O178" s="155">
        <f>IF(D178="","",'Mx FORECAST'!DS116)</f>
        <v>0</v>
      </c>
      <c r="Q178" s="155">
        <f>IF(D178="","",'Mx FORECAST'!DT116)</f>
        <v>0</v>
      </c>
      <c r="S178" s="155">
        <f>IF(D178="","",'Mx FORECAST'!DU116)</f>
        <v>0</v>
      </c>
      <c r="U178" s="155">
        <f>IF(D178="","",'Mx FORECAST'!DV116)</f>
        <v>0</v>
      </c>
      <c r="W178" s="540">
        <f>IF(D178="","",'Mx FORECAST'!DY116)</f>
        <v>6759139.4973290358</v>
      </c>
      <c r="X178" s="540"/>
      <c r="Y178" s="437">
        <f>IF(D178="","",'Mx FORECAST'!DZ116)</f>
        <v>0.53539504866271714</v>
      </c>
      <c r="AD178" s="155"/>
      <c r="AF178" s="155"/>
      <c r="AH178" s="155"/>
      <c r="AJ178" s="155"/>
      <c r="AK178" s="8"/>
      <c r="AL178" s="8"/>
      <c r="AM178" s="8"/>
      <c r="AN178" s="8"/>
      <c r="AO178" s="8"/>
      <c r="AP178" s="8"/>
      <c r="AQ178" s="8"/>
      <c r="AR178" s="8"/>
      <c r="AS178" s="8"/>
      <c r="AT178" s="8"/>
      <c r="AU178" s="8"/>
      <c r="AV178" s="8"/>
      <c r="AW178" s="8"/>
      <c r="AX178" s="8"/>
      <c r="AY178" s="8"/>
      <c r="AZ178" s="8"/>
      <c r="BZ178" s="9"/>
      <c r="CA178" s="9"/>
      <c r="CB178" s="9"/>
      <c r="DM178" s="44">
        <f t="shared" si="438"/>
        <v>172</v>
      </c>
      <c r="DN178" s="41">
        <f t="shared" si="412"/>
        <v>12801925.5</v>
      </c>
      <c r="DO178" s="41">
        <f t="shared" si="439"/>
        <v>164168.42521367522</v>
      </c>
      <c r="DP178" s="42">
        <f t="shared" si="413"/>
        <v>0</v>
      </c>
      <c r="DQ178" s="42">
        <f t="shared" si="414"/>
        <v>0</v>
      </c>
      <c r="DR178" s="42">
        <f t="shared" si="415"/>
        <v>0</v>
      </c>
      <c r="DS178" s="42">
        <f t="shared" si="416"/>
        <v>0</v>
      </c>
      <c r="DT178" s="42">
        <f t="shared" si="417"/>
        <v>0</v>
      </c>
      <c r="DU178" s="42">
        <f t="shared" si="418"/>
        <v>0</v>
      </c>
      <c r="DV178" s="42">
        <f t="shared" si="419"/>
        <v>0</v>
      </c>
      <c r="DW178" s="42">
        <f t="shared" si="420"/>
        <v>0</v>
      </c>
      <c r="DX178" s="42">
        <f t="shared" si="421"/>
        <v>6464428.7825854793</v>
      </c>
      <c r="DY178" s="42">
        <f>IF(DM178="",DY177,DN178-SUM($DO$6:DO178)+SUM($DP$6:DV178)-SUM($DW$6:DW178))</f>
        <v>6337496.7174145207</v>
      </c>
      <c r="DZ178" s="43">
        <f t="shared" si="440"/>
        <v>0.49504246196515678</v>
      </c>
      <c r="EA178" s="43"/>
      <c r="EB178" s="43" t="str">
        <f t="shared" si="398"/>
        <v>False</v>
      </c>
      <c r="EC178" s="41">
        <f t="shared" si="389"/>
        <v>264480</v>
      </c>
      <c r="ED178" s="41">
        <f t="shared" si="390"/>
        <v>686673.49999999988</v>
      </c>
      <c r="EE178" s="41">
        <f t="shared" si="422"/>
        <v>1037621.9999999999</v>
      </c>
      <c r="EF178" s="41">
        <f t="shared" si="441"/>
        <v>14693.333333333334</v>
      </c>
      <c r="EG178" s="42">
        <f t="shared" si="442"/>
        <v>9537.1319444444434</v>
      </c>
      <c r="EH178" s="42">
        <f t="shared" si="443"/>
        <v>7205.7083333333321</v>
      </c>
      <c r="EI178" s="42">
        <f t="shared" si="423"/>
        <v>146933</v>
      </c>
      <c r="EJ178" s="42">
        <f t="shared" si="424"/>
        <v>267040</v>
      </c>
      <c r="EK178" s="42">
        <f t="shared" si="425"/>
        <v>201760</v>
      </c>
      <c r="EL178" s="42">
        <f>IF(DM178="","",EC178-SUM($EF$6:EF178)+SUM($DP$6:DP178))</f>
        <v>117546.66666666837</v>
      </c>
      <c r="EM178" s="42">
        <f>IF(DM178="","",ED178-SUM($EG$6:EG178)+SUM($DQ$6:DQ178))</f>
        <v>419633.80555555027</v>
      </c>
      <c r="EN178" s="42">
        <f>IF(DM178="","",EE178-SUM($EH$6:EH178)+SUM($DR$6:DR178))</f>
        <v>835862.16666666477</v>
      </c>
      <c r="EO178" s="152">
        <f t="shared" si="426"/>
        <v>0.69039599436381005</v>
      </c>
      <c r="EP178" s="43"/>
      <c r="EQ178" s="42">
        <f t="shared" si="427"/>
        <v>448050</v>
      </c>
      <c r="ER178" s="42">
        <f t="shared" si="428"/>
        <v>248100</v>
      </c>
      <c r="ES178" s="42">
        <f t="shared" si="444"/>
        <v>3733.75</v>
      </c>
      <c r="ET178" s="42">
        <f t="shared" si="445"/>
        <v>6122.9807692307695</v>
      </c>
      <c r="EU178" s="42">
        <f t="shared" si="429"/>
        <v>194155</v>
      </c>
      <c r="EV178" s="42">
        <f t="shared" si="430"/>
        <v>60753</v>
      </c>
      <c r="EW178" s="42">
        <f>IF(DM178="","",IF(DS178&gt;0,DS178,EQ178-SUM($ES$6:ES178)+SUM($DS$6:DS178)))</f>
        <v>253895</v>
      </c>
      <c r="EX178" s="42">
        <f>IF(DM178="","",IF(DT178&gt;0,DT178,ER178-SUM($ET$6:ET178)+SUM($DT$6:DT178)))</f>
        <v>187347.30769230984</v>
      </c>
      <c r="EY178" s="43">
        <f t="shared" si="431"/>
        <v>0.75512820512821377</v>
      </c>
      <c r="EZ178" s="43">
        <f t="shared" si="432"/>
        <v>0.56666666666666665</v>
      </c>
      <c r="FA178" s="43"/>
      <c r="FB178" s="42">
        <f t="shared" si="433"/>
        <v>4935000</v>
      </c>
      <c r="FC178" s="42">
        <f t="shared" si="434"/>
        <v>5182000</v>
      </c>
      <c r="FD178" s="41">
        <f t="shared" si="446"/>
        <v>89960.9375</v>
      </c>
      <c r="FE178" s="41">
        <f t="shared" si="447"/>
        <v>32914.583333333336</v>
      </c>
      <c r="FF178" s="42">
        <f t="shared" si="435"/>
        <v>2729060</v>
      </c>
      <c r="FG178" s="42">
        <f t="shared" si="436"/>
        <v>2864728</v>
      </c>
      <c r="FH178" s="42">
        <f>IF(DM178="","",IF(DU178&gt;0,DU178,FB178-SUM($FD$6:FD178)+SUM($DU$6:DU178)))</f>
        <v>2205940.1041666642</v>
      </c>
      <c r="FI178" s="42">
        <f>IF(DM178="","",FC178-SUM($FE$6:FE178)+SUM($DV$6:DV178)-SUM($DW$6:DW178))</f>
        <v>2317271.6666666726</v>
      </c>
      <c r="FJ178" s="152">
        <f t="shared" si="437"/>
        <v>0.44709022149187871</v>
      </c>
      <c r="FN178" s="8"/>
      <c r="FO178" s="8"/>
      <c r="FP178" s="8"/>
      <c r="FQ178" s="8"/>
      <c r="FR178" s="8"/>
      <c r="FS178" s="8"/>
      <c r="FT178" s="8"/>
      <c r="FU178" s="8"/>
      <c r="GC178" s="68">
        <f t="shared" si="401"/>
        <v>173</v>
      </c>
      <c r="GD178" s="78">
        <f t="shared" si="402"/>
        <v>0</v>
      </c>
      <c r="GE178" s="309">
        <f t="shared" si="403"/>
        <v>0.48221873281490701</v>
      </c>
      <c r="GF178" s="78">
        <f t="shared" si="404"/>
        <v>0</v>
      </c>
      <c r="GG178" s="310">
        <f t="shared" si="405"/>
        <v>0.67458919585331389</v>
      </c>
      <c r="GH178" s="78">
        <f t="shared" si="406"/>
        <v>0</v>
      </c>
      <c r="GI178" s="310">
        <f t="shared" si="407"/>
        <v>0.55833333333333335</v>
      </c>
      <c r="GJ178" s="311">
        <f t="shared" si="408"/>
        <v>0</v>
      </c>
      <c r="GK178" s="310">
        <f t="shared" si="409"/>
        <v>0.73044871794872668</v>
      </c>
      <c r="GL178" s="311">
        <f t="shared" si="410"/>
        <v>0</v>
      </c>
      <c r="GM178" s="310">
        <f t="shared" si="411"/>
        <v>0.4349447711772268</v>
      </c>
      <c r="GQ178" s="8"/>
      <c r="HD178" s="13"/>
      <c r="HE178" s="24"/>
      <c r="HF178" s="13"/>
      <c r="HG178" s="14"/>
      <c r="HH178" s="13"/>
      <c r="HI178" s="13"/>
      <c r="HJ178" s="13"/>
      <c r="HK178" s="13"/>
      <c r="HL178" s="13"/>
      <c r="HM178" s="14"/>
      <c r="HN178" s="13"/>
      <c r="HO178" s="13"/>
    </row>
    <row r="179" spans="3:223" x14ac:dyDescent="0.2">
      <c r="C179" s="426">
        <f t="shared" si="346"/>
        <v>44652</v>
      </c>
      <c r="D179" s="155">
        <f t="shared" si="347"/>
        <v>111</v>
      </c>
      <c r="E179" s="155">
        <f t="shared" si="399"/>
        <v>12624583.5</v>
      </c>
      <c r="F179" s="155"/>
      <c r="G179" s="438">
        <f t="shared" si="400"/>
        <v>160895.21688034188</v>
      </c>
      <c r="I179" s="444">
        <f>IF(D179="","",'Mx FORECAST'!DX117)</f>
        <v>6026339.2195513062</v>
      </c>
      <c r="J179" s="155">
        <f>IF(D179="","",'Mx FORECAST'!DP117)</f>
        <v>0</v>
      </c>
      <c r="K179" s="155">
        <f>IF(D179="","",'Mx FORECAST'!DQ117)</f>
        <v>0</v>
      </c>
      <c r="M179" s="155">
        <f>IF(D179="","",'Mx FORECAST'!DR117)</f>
        <v>0</v>
      </c>
      <c r="O179" s="155">
        <f>IF(D179="","",'Mx FORECAST'!DS117)</f>
        <v>0</v>
      </c>
      <c r="Q179" s="155">
        <f>IF(D179="","",'Mx FORECAST'!DT117)</f>
        <v>0</v>
      </c>
      <c r="S179" s="155">
        <f>IF(D179="","",'Mx FORECAST'!DU117)</f>
        <v>0</v>
      </c>
      <c r="U179" s="155">
        <f>IF(D179="","",'Mx FORECAST'!DV117)</f>
        <v>0</v>
      </c>
      <c r="W179" s="540">
        <f>IF(D179="","",'Mx FORECAST'!DY117)</f>
        <v>6598244.2804486938</v>
      </c>
      <c r="X179" s="540"/>
      <c r="Y179" s="437">
        <f>IF(D179="","",'Mx FORECAST'!DZ117)</f>
        <v>0.52265045262274945</v>
      </c>
      <c r="AD179" s="155"/>
      <c r="AF179" s="155"/>
      <c r="AH179" s="155"/>
      <c r="AJ179" s="155"/>
      <c r="AK179" s="8"/>
      <c r="AL179" s="8"/>
      <c r="AM179" s="8"/>
      <c r="AN179" s="8"/>
      <c r="AO179" s="8"/>
      <c r="AP179" s="8"/>
      <c r="AQ179" s="8"/>
      <c r="AR179" s="8"/>
      <c r="AS179" s="8"/>
      <c r="AT179" s="8"/>
      <c r="AU179" s="8"/>
      <c r="AV179" s="8"/>
      <c r="AW179" s="8"/>
      <c r="AX179" s="8"/>
      <c r="AY179" s="8"/>
      <c r="AZ179" s="8"/>
      <c r="BZ179" s="9"/>
      <c r="CA179" s="9"/>
      <c r="CB179" s="9"/>
      <c r="DM179" s="44">
        <f t="shared" si="438"/>
        <v>173</v>
      </c>
      <c r="DN179" s="41">
        <f t="shared" si="412"/>
        <v>12801925.5</v>
      </c>
      <c r="DO179" s="41">
        <f t="shared" si="439"/>
        <v>164168.42521367522</v>
      </c>
      <c r="DP179" s="42">
        <f t="shared" si="413"/>
        <v>0</v>
      </c>
      <c r="DQ179" s="42">
        <f t="shared" si="414"/>
        <v>0</v>
      </c>
      <c r="DR179" s="42">
        <f t="shared" si="415"/>
        <v>0</v>
      </c>
      <c r="DS179" s="42">
        <f t="shared" si="416"/>
        <v>0</v>
      </c>
      <c r="DT179" s="42">
        <f t="shared" si="417"/>
        <v>0</v>
      </c>
      <c r="DU179" s="42">
        <f t="shared" si="418"/>
        <v>0</v>
      </c>
      <c r="DV179" s="42">
        <f t="shared" si="419"/>
        <v>0</v>
      </c>
      <c r="DW179" s="42">
        <f t="shared" si="420"/>
        <v>0</v>
      </c>
      <c r="DX179" s="42">
        <f t="shared" si="421"/>
        <v>6628597.2077991553</v>
      </c>
      <c r="DY179" s="42">
        <f>IF(DM179="",DY178,DN179-SUM($DO$6:DO179)+SUM($DP$6:DV179)-SUM($DW$6:DW179))</f>
        <v>6173328.2922008447</v>
      </c>
      <c r="DZ179" s="43">
        <f t="shared" si="440"/>
        <v>0.48221873281490701</v>
      </c>
      <c r="EA179" s="43"/>
      <c r="EB179" s="43" t="str">
        <f t="shared" si="398"/>
        <v>False</v>
      </c>
      <c r="EC179" s="41">
        <f t="shared" si="389"/>
        <v>264480</v>
      </c>
      <c r="ED179" s="41">
        <f t="shared" si="390"/>
        <v>686673.49999999988</v>
      </c>
      <c r="EE179" s="41">
        <f t="shared" si="422"/>
        <v>1037621.9999999999</v>
      </c>
      <c r="EF179" s="41">
        <f t="shared" si="441"/>
        <v>14693.333333333334</v>
      </c>
      <c r="EG179" s="42">
        <f t="shared" si="442"/>
        <v>9537.1319444444434</v>
      </c>
      <c r="EH179" s="42">
        <f t="shared" si="443"/>
        <v>7205.7083333333321</v>
      </c>
      <c r="EI179" s="42">
        <f t="shared" si="423"/>
        <v>161627</v>
      </c>
      <c r="EJ179" s="42">
        <f t="shared" si="424"/>
        <v>276577</v>
      </c>
      <c r="EK179" s="42">
        <f t="shared" si="425"/>
        <v>208966</v>
      </c>
      <c r="EL179" s="42">
        <f>IF(DM179="","",EC179-SUM($EF$6:EF179)+SUM($DP$6:DP179))</f>
        <v>102853.33333333489</v>
      </c>
      <c r="EM179" s="42">
        <f>IF(DM179="","",ED179-SUM($EG$6:EG179)+SUM($DQ$6:DQ179))</f>
        <v>410096.67361110577</v>
      </c>
      <c r="EN179" s="42">
        <f>IF(DM179="","",EE179-SUM($EH$6:EH179)+SUM($DR$6:DR179))</f>
        <v>828656.45833333151</v>
      </c>
      <c r="EO179" s="152">
        <f t="shared" si="426"/>
        <v>0.67458919585331389</v>
      </c>
      <c r="EP179" s="43"/>
      <c r="EQ179" s="42">
        <f t="shared" si="427"/>
        <v>448050</v>
      </c>
      <c r="ER179" s="42">
        <f t="shared" si="428"/>
        <v>248100</v>
      </c>
      <c r="ES179" s="42">
        <f t="shared" si="444"/>
        <v>3733.75</v>
      </c>
      <c r="ET179" s="42">
        <f t="shared" si="445"/>
        <v>6122.9807692307695</v>
      </c>
      <c r="EU179" s="42">
        <f t="shared" si="429"/>
        <v>197889</v>
      </c>
      <c r="EV179" s="42">
        <f t="shared" si="430"/>
        <v>66876</v>
      </c>
      <c r="EW179" s="42">
        <f>IF(DM179="","",IF(DS179&gt;0,DS179,EQ179-SUM($ES$6:ES179)+SUM($DS$6:DS179)))</f>
        <v>250161.25</v>
      </c>
      <c r="EX179" s="42">
        <f>IF(DM179="","",IF(DT179&gt;0,DT179,ER179-SUM($ET$6:ET179)+SUM($DT$6:DT179)))</f>
        <v>181224.32692307909</v>
      </c>
      <c r="EY179" s="43">
        <f t="shared" si="431"/>
        <v>0.73044871794872668</v>
      </c>
      <c r="EZ179" s="43">
        <f t="shared" si="432"/>
        <v>0.55833333333333335</v>
      </c>
      <c r="FA179" s="43"/>
      <c r="FB179" s="42">
        <f t="shared" si="433"/>
        <v>4935000</v>
      </c>
      <c r="FC179" s="42">
        <f t="shared" si="434"/>
        <v>5182000</v>
      </c>
      <c r="FD179" s="41">
        <f t="shared" si="446"/>
        <v>89960.9375</v>
      </c>
      <c r="FE179" s="41">
        <f t="shared" si="447"/>
        <v>32914.583333333336</v>
      </c>
      <c r="FF179" s="42">
        <f t="shared" si="435"/>
        <v>2819021</v>
      </c>
      <c r="FG179" s="42">
        <f t="shared" si="436"/>
        <v>2897643</v>
      </c>
      <c r="FH179" s="42">
        <f>IF(DM179="","",IF(DU179&gt;0,DU179,FB179-SUM($FD$6:FD179)+SUM($DU$6:DU179)))</f>
        <v>2115979.1666666642</v>
      </c>
      <c r="FI179" s="42">
        <f>IF(DM179="","",FC179-SUM($FE$6:FE179)+SUM($DV$6:DV179)-SUM($DW$6:DW179))</f>
        <v>2284357.0833333395</v>
      </c>
      <c r="FJ179" s="152">
        <f t="shared" si="437"/>
        <v>0.4349447711772268</v>
      </c>
      <c r="FN179" s="8"/>
      <c r="FO179" s="8"/>
      <c r="FP179" s="8"/>
      <c r="FQ179" s="8"/>
      <c r="FR179" s="8"/>
      <c r="FS179" s="8"/>
      <c r="FT179" s="8"/>
      <c r="FU179" s="8"/>
      <c r="GC179" s="68">
        <f t="shared" si="401"/>
        <v>174</v>
      </c>
      <c r="GD179" s="78">
        <f t="shared" si="402"/>
        <v>0</v>
      </c>
      <c r="GE179" s="309">
        <f t="shared" si="403"/>
        <v>0.46939500366465725</v>
      </c>
      <c r="GF179" s="78">
        <f t="shared" si="404"/>
        <v>0</v>
      </c>
      <c r="GG179" s="310">
        <f t="shared" si="405"/>
        <v>0.65878239734281774</v>
      </c>
      <c r="GH179" s="78">
        <f t="shared" si="406"/>
        <v>0</v>
      </c>
      <c r="GI179" s="310">
        <f t="shared" si="407"/>
        <v>0.55000000000000004</v>
      </c>
      <c r="GJ179" s="311">
        <f t="shared" si="408"/>
        <v>0</v>
      </c>
      <c r="GK179" s="310">
        <f t="shared" si="409"/>
        <v>0.70576923076923959</v>
      </c>
      <c r="GL179" s="311">
        <f t="shared" si="410"/>
        <v>0</v>
      </c>
      <c r="GM179" s="310">
        <f t="shared" si="411"/>
        <v>0.42279932086257493</v>
      </c>
      <c r="GQ179" s="8"/>
      <c r="HD179" s="13"/>
      <c r="HE179" s="24"/>
      <c r="HF179" s="13"/>
      <c r="HG179" s="14"/>
      <c r="HH179" s="13"/>
      <c r="HI179" s="13"/>
      <c r="HJ179" s="13"/>
      <c r="HK179" s="13"/>
      <c r="HL179" s="13"/>
      <c r="HM179" s="14"/>
      <c r="HN179" s="13"/>
      <c r="HO179" s="13"/>
    </row>
    <row r="180" spans="3:223" x14ac:dyDescent="0.2">
      <c r="C180" s="426">
        <f t="shared" si="346"/>
        <v>44682</v>
      </c>
      <c r="D180" s="155">
        <f t="shared" si="347"/>
        <v>112</v>
      </c>
      <c r="E180" s="155">
        <f t="shared" si="399"/>
        <v>12624583.5</v>
      </c>
      <c r="F180" s="155"/>
      <c r="G180" s="438">
        <f t="shared" si="400"/>
        <v>160895.21688034188</v>
      </c>
      <c r="I180" s="444">
        <f>IF(D180="","",'Mx FORECAST'!DX118)</f>
        <v>6187234.4364316482</v>
      </c>
      <c r="J180" s="155">
        <f>IF(D180="","",'Mx FORECAST'!DP118)</f>
        <v>0</v>
      </c>
      <c r="K180" s="155">
        <f>IF(D180="","",'Mx FORECAST'!DQ118)</f>
        <v>0</v>
      </c>
      <c r="M180" s="155">
        <f>IF(D180="","",'Mx FORECAST'!DR118)</f>
        <v>0</v>
      </c>
      <c r="O180" s="155">
        <f>IF(D180="","",'Mx FORECAST'!DS118)</f>
        <v>0</v>
      </c>
      <c r="Q180" s="155">
        <f>IF(D180="","",'Mx FORECAST'!DT118)</f>
        <v>0</v>
      </c>
      <c r="S180" s="155">
        <f>IF(D180="","",'Mx FORECAST'!DU118)</f>
        <v>0</v>
      </c>
      <c r="U180" s="155">
        <f>IF(D180="","",'Mx FORECAST'!DV118)</f>
        <v>0</v>
      </c>
      <c r="W180" s="540">
        <f>IF(D180="","",'Mx FORECAST'!DY118)</f>
        <v>6437349.0635683518</v>
      </c>
      <c r="X180" s="540"/>
      <c r="Y180" s="437">
        <f>IF(D180="","",'Mx FORECAST'!DZ118)</f>
        <v>0.50990585658278165</v>
      </c>
      <c r="AD180" s="155"/>
      <c r="AF180" s="155"/>
      <c r="AH180" s="155"/>
      <c r="AJ180" s="155"/>
      <c r="AK180" s="8"/>
      <c r="AL180" s="8"/>
      <c r="AM180" s="8"/>
      <c r="AN180" s="8"/>
      <c r="AO180" s="8"/>
      <c r="AP180" s="8"/>
      <c r="AQ180" s="8"/>
      <c r="AR180" s="8"/>
      <c r="AS180" s="8"/>
      <c r="AT180" s="8"/>
      <c r="AU180" s="8"/>
      <c r="AV180" s="8"/>
      <c r="AW180" s="8"/>
      <c r="AX180" s="8"/>
      <c r="AY180" s="8"/>
      <c r="AZ180" s="8"/>
      <c r="BZ180" s="9"/>
      <c r="CA180" s="9"/>
      <c r="CB180" s="9"/>
      <c r="DM180" s="44">
        <f t="shared" si="438"/>
        <v>174</v>
      </c>
      <c r="DN180" s="41">
        <f t="shared" si="412"/>
        <v>12801925.5</v>
      </c>
      <c r="DO180" s="41">
        <f t="shared" si="439"/>
        <v>164168.42521367522</v>
      </c>
      <c r="DP180" s="42">
        <f t="shared" si="413"/>
        <v>0</v>
      </c>
      <c r="DQ180" s="42">
        <f t="shared" si="414"/>
        <v>0</v>
      </c>
      <c r="DR180" s="42">
        <f t="shared" si="415"/>
        <v>0</v>
      </c>
      <c r="DS180" s="42">
        <f t="shared" si="416"/>
        <v>0</v>
      </c>
      <c r="DT180" s="42">
        <f t="shared" si="417"/>
        <v>0</v>
      </c>
      <c r="DU180" s="42">
        <f t="shared" si="418"/>
        <v>0</v>
      </c>
      <c r="DV180" s="42">
        <f t="shared" si="419"/>
        <v>0</v>
      </c>
      <c r="DW180" s="42">
        <f t="shared" si="420"/>
        <v>0</v>
      </c>
      <c r="DX180" s="42">
        <f t="shared" si="421"/>
        <v>6792765.6330128312</v>
      </c>
      <c r="DY180" s="42">
        <f>IF(DM180="",DY179,DN180-SUM($DO$6:DO180)+SUM($DP$6:DV180)-SUM($DW$6:DW180))</f>
        <v>6009159.8669871688</v>
      </c>
      <c r="DZ180" s="43">
        <f t="shared" si="440"/>
        <v>0.46939500366465725</v>
      </c>
      <c r="EA180" s="43"/>
      <c r="EB180" s="43" t="str">
        <f t="shared" si="398"/>
        <v>False</v>
      </c>
      <c r="EC180" s="41">
        <f t="shared" si="389"/>
        <v>264480</v>
      </c>
      <c r="ED180" s="41">
        <f t="shared" si="390"/>
        <v>686673.49999999988</v>
      </c>
      <c r="EE180" s="41">
        <f t="shared" si="422"/>
        <v>1037621.9999999999</v>
      </c>
      <c r="EF180" s="41">
        <f t="shared" si="441"/>
        <v>14693.333333333334</v>
      </c>
      <c r="EG180" s="42">
        <f t="shared" si="442"/>
        <v>9537.1319444444434</v>
      </c>
      <c r="EH180" s="42">
        <f t="shared" si="443"/>
        <v>7205.7083333333321</v>
      </c>
      <c r="EI180" s="42">
        <f t="shared" si="423"/>
        <v>176320</v>
      </c>
      <c r="EJ180" s="42">
        <f t="shared" si="424"/>
        <v>286114</v>
      </c>
      <c r="EK180" s="42">
        <f t="shared" si="425"/>
        <v>216171</v>
      </c>
      <c r="EL180" s="42">
        <f>IF(DM180="","",EC180-SUM($EF$6:EF180)+SUM($DP$6:DP180))</f>
        <v>88160.000000001397</v>
      </c>
      <c r="EM180" s="42">
        <f>IF(DM180="","",ED180-SUM($EG$6:EG180)+SUM($DQ$6:DQ180))</f>
        <v>400559.54166666127</v>
      </c>
      <c r="EN180" s="42">
        <f>IF(DM180="","",EE180-SUM($EH$6:EH180)+SUM($DR$6:DR180))</f>
        <v>821450.74999999825</v>
      </c>
      <c r="EO180" s="152">
        <f t="shared" si="426"/>
        <v>0.65878239734281774</v>
      </c>
      <c r="EP180" s="43"/>
      <c r="EQ180" s="42">
        <f t="shared" si="427"/>
        <v>448050</v>
      </c>
      <c r="ER180" s="42">
        <f t="shared" si="428"/>
        <v>248100</v>
      </c>
      <c r="ES180" s="42">
        <f t="shared" si="444"/>
        <v>3733.75</v>
      </c>
      <c r="ET180" s="42">
        <f t="shared" si="445"/>
        <v>6122.9807692307695</v>
      </c>
      <c r="EU180" s="42">
        <f t="shared" si="429"/>
        <v>201623</v>
      </c>
      <c r="EV180" s="42">
        <f t="shared" si="430"/>
        <v>72999</v>
      </c>
      <c r="EW180" s="42">
        <f>IF(DM180="","",IF(DS180&gt;0,DS180,EQ180-SUM($ES$6:ES180)+SUM($DS$6:DS180)))</f>
        <v>246427.5</v>
      </c>
      <c r="EX180" s="42">
        <f>IF(DM180="","",IF(DT180&gt;0,DT180,ER180-SUM($ET$6:ET180)+SUM($DT$6:DT180)))</f>
        <v>175101.34615384834</v>
      </c>
      <c r="EY180" s="43">
        <f t="shared" si="431"/>
        <v>0.70576923076923959</v>
      </c>
      <c r="EZ180" s="43">
        <f t="shared" si="432"/>
        <v>0.55000000000000004</v>
      </c>
      <c r="FA180" s="43"/>
      <c r="FB180" s="42">
        <f t="shared" si="433"/>
        <v>4935000</v>
      </c>
      <c r="FC180" s="42">
        <f t="shared" si="434"/>
        <v>5182000</v>
      </c>
      <c r="FD180" s="41">
        <f t="shared" si="446"/>
        <v>89960.9375</v>
      </c>
      <c r="FE180" s="41">
        <f t="shared" si="447"/>
        <v>32914.583333333336</v>
      </c>
      <c r="FF180" s="42">
        <f t="shared" si="435"/>
        <v>2908982</v>
      </c>
      <c r="FG180" s="42">
        <f t="shared" si="436"/>
        <v>2930557</v>
      </c>
      <c r="FH180" s="42">
        <f>IF(DM180="","",IF(DU180&gt;0,DU180,FB180-SUM($FD$6:FD180)+SUM($DU$6:DU180)))</f>
        <v>2026018.2291666642</v>
      </c>
      <c r="FI180" s="42">
        <f>IF(DM180="","",FC180-SUM($FE$6:FE180)+SUM($DV$6:DV180)-SUM($DW$6:DW180))</f>
        <v>2251442.5000000065</v>
      </c>
      <c r="FJ180" s="152">
        <f t="shared" si="437"/>
        <v>0.42279932086257493</v>
      </c>
      <c r="FN180" s="8"/>
      <c r="FO180" s="8"/>
      <c r="FP180" s="8"/>
      <c r="FQ180" s="8"/>
      <c r="FR180" s="8"/>
      <c r="FS180" s="8"/>
      <c r="FT180" s="8"/>
      <c r="FU180" s="8"/>
      <c r="GC180" s="68">
        <f t="shared" si="401"/>
        <v>175</v>
      </c>
      <c r="GD180" s="78">
        <f t="shared" si="402"/>
        <v>0</v>
      </c>
      <c r="GE180" s="309">
        <f t="shared" si="403"/>
        <v>0.45657127451440743</v>
      </c>
      <c r="GF180" s="78">
        <f t="shared" si="404"/>
        <v>0</v>
      </c>
      <c r="GG180" s="310">
        <f t="shared" si="405"/>
        <v>0.64297559883232158</v>
      </c>
      <c r="GH180" s="78">
        <f t="shared" si="406"/>
        <v>0</v>
      </c>
      <c r="GI180" s="310">
        <f t="shared" si="407"/>
        <v>0.54166666666666663</v>
      </c>
      <c r="GJ180" s="311">
        <f t="shared" si="408"/>
        <v>0</v>
      </c>
      <c r="GK180" s="310">
        <f t="shared" si="409"/>
        <v>0.68108974358975249</v>
      </c>
      <c r="GL180" s="311">
        <f t="shared" si="410"/>
        <v>0</v>
      </c>
      <c r="GM180" s="310">
        <f t="shared" si="411"/>
        <v>0.41065387054792307</v>
      </c>
      <c r="GQ180" s="8"/>
      <c r="HD180" s="13"/>
      <c r="HE180" s="24"/>
      <c r="HF180" s="13"/>
      <c r="HG180" s="14"/>
      <c r="HH180" s="13"/>
      <c r="HI180" s="13"/>
      <c r="HJ180" s="13"/>
      <c r="HK180" s="13"/>
      <c r="HL180" s="13"/>
      <c r="HM180" s="14"/>
      <c r="HN180" s="13"/>
      <c r="HO180" s="13"/>
    </row>
    <row r="181" spans="3:223" x14ac:dyDescent="0.2">
      <c r="C181" s="426">
        <f t="shared" si="346"/>
        <v>44713</v>
      </c>
      <c r="D181" s="155">
        <f t="shared" si="347"/>
        <v>113</v>
      </c>
      <c r="E181" s="155">
        <f t="shared" si="399"/>
        <v>12624583.5</v>
      </c>
      <c r="F181" s="155"/>
      <c r="G181" s="438">
        <f t="shared" si="400"/>
        <v>160895.21688034188</v>
      </c>
      <c r="I181" s="444">
        <f>IF(D181="","",'Mx FORECAST'!DX119)</f>
        <v>6348129.6533119902</v>
      </c>
      <c r="J181" s="155">
        <f>IF(D181="","",'Mx FORECAST'!DP119)</f>
        <v>0</v>
      </c>
      <c r="K181" s="155">
        <f>IF(D181="","",'Mx FORECAST'!DQ119)</f>
        <v>0</v>
      </c>
      <c r="M181" s="155">
        <f>IF(D181="","",'Mx FORECAST'!DR119)</f>
        <v>0</v>
      </c>
      <c r="O181" s="155">
        <f>IF(D181="","",'Mx FORECAST'!DS119)</f>
        <v>0</v>
      </c>
      <c r="Q181" s="155">
        <f>IF(D181="","",'Mx FORECAST'!DT119)</f>
        <v>0</v>
      </c>
      <c r="S181" s="155">
        <f>IF(D181="","",'Mx FORECAST'!DU119)</f>
        <v>0</v>
      </c>
      <c r="U181" s="155">
        <f>IF(D181="","",'Mx FORECAST'!DV119)</f>
        <v>0</v>
      </c>
      <c r="W181" s="540">
        <f>IF(D181="","",'Mx FORECAST'!DY119)</f>
        <v>6276453.8466880098</v>
      </c>
      <c r="X181" s="540"/>
      <c r="Y181" s="437">
        <f>IF(D181="","",'Mx FORECAST'!DZ119)</f>
        <v>0.49716126054281395</v>
      </c>
      <c r="AD181" s="155"/>
      <c r="AF181" s="155"/>
      <c r="AH181" s="155"/>
      <c r="AJ181" s="155"/>
      <c r="AK181" s="8"/>
      <c r="AL181" s="8"/>
      <c r="AM181" s="8"/>
      <c r="AN181" s="8"/>
      <c r="AO181" s="8"/>
      <c r="AP181" s="8"/>
      <c r="AQ181" s="8"/>
      <c r="AR181" s="8"/>
      <c r="AS181" s="8"/>
      <c r="AT181" s="8"/>
      <c r="AU181" s="8"/>
      <c r="AV181" s="8"/>
      <c r="AW181" s="8"/>
      <c r="AX181" s="8"/>
      <c r="AY181" s="8"/>
      <c r="AZ181" s="8"/>
      <c r="BZ181" s="9"/>
      <c r="CA181" s="9"/>
      <c r="CB181" s="9"/>
      <c r="DM181" s="44">
        <f t="shared" si="438"/>
        <v>175</v>
      </c>
      <c r="DN181" s="41">
        <f t="shared" si="412"/>
        <v>12801925.5</v>
      </c>
      <c r="DO181" s="41">
        <f t="shared" si="439"/>
        <v>164168.42521367522</v>
      </c>
      <c r="DP181" s="42">
        <f t="shared" si="413"/>
        <v>0</v>
      </c>
      <c r="DQ181" s="42">
        <f t="shared" si="414"/>
        <v>0</v>
      </c>
      <c r="DR181" s="42">
        <f t="shared" si="415"/>
        <v>0</v>
      </c>
      <c r="DS181" s="42">
        <f t="shared" si="416"/>
        <v>0</v>
      </c>
      <c r="DT181" s="42">
        <f t="shared" si="417"/>
        <v>0</v>
      </c>
      <c r="DU181" s="42">
        <f t="shared" si="418"/>
        <v>0</v>
      </c>
      <c r="DV181" s="42">
        <f t="shared" si="419"/>
        <v>0</v>
      </c>
      <c r="DW181" s="42">
        <f t="shared" si="420"/>
        <v>0</v>
      </c>
      <c r="DX181" s="42">
        <f t="shared" si="421"/>
        <v>6956934.0582265072</v>
      </c>
      <c r="DY181" s="42">
        <f>IF(DM181="",DY180,DN181-SUM($DO$6:DO181)+SUM($DP$6:DV181)-SUM($DW$6:DW181))</f>
        <v>5844991.4417734928</v>
      </c>
      <c r="DZ181" s="43">
        <f t="shared" si="440"/>
        <v>0.45657127451440743</v>
      </c>
      <c r="EA181" s="43"/>
      <c r="EB181" s="43" t="str">
        <f t="shared" si="398"/>
        <v>False</v>
      </c>
      <c r="EC181" s="41">
        <f t="shared" si="389"/>
        <v>264480</v>
      </c>
      <c r="ED181" s="41">
        <f t="shared" si="390"/>
        <v>686673.49999999988</v>
      </c>
      <c r="EE181" s="41">
        <f t="shared" si="422"/>
        <v>1037621.9999999999</v>
      </c>
      <c r="EF181" s="41">
        <f t="shared" si="441"/>
        <v>14693.333333333334</v>
      </c>
      <c r="EG181" s="42">
        <f t="shared" si="442"/>
        <v>9537.1319444444434</v>
      </c>
      <c r="EH181" s="42">
        <f t="shared" si="443"/>
        <v>7205.7083333333321</v>
      </c>
      <c r="EI181" s="42">
        <f t="shared" si="423"/>
        <v>191013</v>
      </c>
      <c r="EJ181" s="42">
        <f t="shared" si="424"/>
        <v>295651</v>
      </c>
      <c r="EK181" s="42">
        <f t="shared" si="425"/>
        <v>223377</v>
      </c>
      <c r="EL181" s="42">
        <f>IF(DM181="","",EC181-SUM($EF$6:EF181)+SUM($DP$6:DP181))</f>
        <v>73466.666666667908</v>
      </c>
      <c r="EM181" s="42">
        <f>IF(DM181="","",ED181-SUM($EG$6:EG181)+SUM($DQ$6:DQ181))</f>
        <v>391022.40972221678</v>
      </c>
      <c r="EN181" s="42">
        <f>IF(DM181="","",EE181-SUM($EH$6:EH181)+SUM($DR$6:DR181))</f>
        <v>814245.041666665</v>
      </c>
      <c r="EO181" s="152">
        <f t="shared" si="426"/>
        <v>0.64297559883232158</v>
      </c>
      <c r="EP181" s="43"/>
      <c r="EQ181" s="42">
        <f t="shared" si="427"/>
        <v>448050</v>
      </c>
      <c r="ER181" s="42">
        <f t="shared" si="428"/>
        <v>248100</v>
      </c>
      <c r="ES181" s="42">
        <f t="shared" si="444"/>
        <v>3733.75</v>
      </c>
      <c r="ET181" s="42">
        <f t="shared" si="445"/>
        <v>6122.9807692307695</v>
      </c>
      <c r="EU181" s="42">
        <f t="shared" si="429"/>
        <v>205356</v>
      </c>
      <c r="EV181" s="42">
        <f t="shared" si="430"/>
        <v>79122</v>
      </c>
      <c r="EW181" s="42">
        <f>IF(DM181="","",IF(DS181&gt;0,DS181,EQ181-SUM($ES$6:ES181)+SUM($DS$6:DS181)))</f>
        <v>242693.75</v>
      </c>
      <c r="EX181" s="42">
        <f>IF(DM181="","",IF(DT181&gt;0,DT181,ER181-SUM($ET$6:ET181)+SUM($DT$6:DT181)))</f>
        <v>168978.36538461759</v>
      </c>
      <c r="EY181" s="43">
        <f t="shared" si="431"/>
        <v>0.68108974358975249</v>
      </c>
      <c r="EZ181" s="43">
        <f t="shared" si="432"/>
        <v>0.54166666666666663</v>
      </c>
      <c r="FA181" s="43"/>
      <c r="FB181" s="42">
        <f t="shared" si="433"/>
        <v>4935000</v>
      </c>
      <c r="FC181" s="42">
        <f t="shared" si="434"/>
        <v>5182000</v>
      </c>
      <c r="FD181" s="41">
        <f t="shared" si="446"/>
        <v>89960.9375</v>
      </c>
      <c r="FE181" s="41">
        <f t="shared" si="447"/>
        <v>32914.583333333336</v>
      </c>
      <c r="FF181" s="42">
        <f t="shared" si="435"/>
        <v>2998943</v>
      </c>
      <c r="FG181" s="42">
        <f t="shared" si="436"/>
        <v>2963472</v>
      </c>
      <c r="FH181" s="42">
        <f>IF(DM181="","",IF(DU181&gt;0,DU181,FB181-SUM($FD$6:FD181)+SUM($DU$6:DU181)))</f>
        <v>1936057.2916666642</v>
      </c>
      <c r="FI181" s="42">
        <f>IF(DM181="","",FC181-SUM($FE$6:FE181)+SUM($DV$6:DV181)-SUM($DW$6:DW181))</f>
        <v>2218527.9166666735</v>
      </c>
      <c r="FJ181" s="152">
        <f t="shared" si="437"/>
        <v>0.41065387054792307</v>
      </c>
      <c r="FN181" s="8"/>
      <c r="FO181" s="8"/>
      <c r="FP181" s="8"/>
      <c r="FQ181" s="8"/>
      <c r="FR181" s="8"/>
      <c r="FS181" s="8"/>
      <c r="FT181" s="8"/>
      <c r="FU181" s="8"/>
      <c r="GC181" s="68">
        <f t="shared" si="401"/>
        <v>176</v>
      </c>
      <c r="GD181" s="78">
        <f t="shared" si="402"/>
        <v>0</v>
      </c>
      <c r="GE181" s="309">
        <f t="shared" si="403"/>
        <v>0.44374754536415767</v>
      </c>
      <c r="GF181" s="78">
        <f t="shared" si="404"/>
        <v>0</v>
      </c>
      <c r="GG181" s="310">
        <f t="shared" si="405"/>
        <v>0.62716880032182543</v>
      </c>
      <c r="GH181" s="78">
        <f t="shared" si="406"/>
        <v>0</v>
      </c>
      <c r="GI181" s="310">
        <f t="shared" si="407"/>
        <v>0.53333333333333333</v>
      </c>
      <c r="GJ181" s="311">
        <f t="shared" si="408"/>
        <v>0</v>
      </c>
      <c r="GK181" s="310">
        <f t="shared" si="409"/>
        <v>0.6564102564102654</v>
      </c>
      <c r="GL181" s="311">
        <f t="shared" si="410"/>
        <v>0</v>
      </c>
      <c r="GM181" s="310">
        <f t="shared" si="411"/>
        <v>0.39850842023327121</v>
      </c>
      <c r="GQ181" s="8"/>
      <c r="HD181" s="13"/>
      <c r="HE181" s="24"/>
      <c r="HF181" s="13"/>
      <c r="HG181" s="14"/>
      <c r="HH181" s="13"/>
      <c r="HI181" s="13"/>
      <c r="HJ181" s="13"/>
      <c r="HK181" s="13"/>
      <c r="HL181" s="13"/>
      <c r="HM181" s="14"/>
      <c r="HN181" s="13"/>
      <c r="HO181" s="13"/>
    </row>
    <row r="182" spans="3:223" x14ac:dyDescent="0.2">
      <c r="C182" s="426">
        <f t="shared" si="346"/>
        <v>44743</v>
      </c>
      <c r="D182" s="155">
        <f t="shared" si="347"/>
        <v>114</v>
      </c>
      <c r="E182" s="155">
        <f t="shared" si="399"/>
        <v>12624583.5</v>
      </c>
      <c r="F182" s="155"/>
      <c r="G182" s="438">
        <f t="shared" si="400"/>
        <v>160895.21688034188</v>
      </c>
      <c r="I182" s="444">
        <f>IF(D182="","",'Mx FORECAST'!DX120)</f>
        <v>6509024.8701923322</v>
      </c>
      <c r="J182" s="155">
        <f>IF(D182="","",'Mx FORECAST'!DP120)</f>
        <v>0</v>
      </c>
      <c r="K182" s="155">
        <f>IF(D182="","",'Mx FORECAST'!DQ120)</f>
        <v>0</v>
      </c>
      <c r="M182" s="155">
        <f>IF(D182="","",'Mx FORECAST'!DR120)</f>
        <v>0</v>
      </c>
      <c r="O182" s="155">
        <f>IF(D182="","",'Mx FORECAST'!DS120)</f>
        <v>0</v>
      </c>
      <c r="Q182" s="155">
        <f>IF(D182="","",'Mx FORECAST'!DT120)</f>
        <v>0</v>
      </c>
      <c r="S182" s="155">
        <f>IF(D182="","",'Mx FORECAST'!DU120)</f>
        <v>0</v>
      </c>
      <c r="U182" s="155">
        <f>IF(D182="","",'Mx FORECAST'!DV120)</f>
        <v>0</v>
      </c>
      <c r="W182" s="540">
        <f>IF(D182="","",'Mx FORECAST'!DY120)</f>
        <v>6115558.6298076678</v>
      </c>
      <c r="X182" s="540"/>
      <c r="Y182" s="437">
        <f>IF(D182="","",'Mx FORECAST'!DZ120)</f>
        <v>0.48441666450284621</v>
      </c>
      <c r="AD182" s="155"/>
      <c r="AF182" s="155"/>
      <c r="AH182" s="155"/>
      <c r="AJ182" s="155"/>
      <c r="AK182" s="8"/>
      <c r="AL182" s="8"/>
      <c r="AM182" s="8"/>
      <c r="AN182" s="8"/>
      <c r="AO182" s="8"/>
      <c r="AP182" s="8"/>
      <c r="AQ182" s="8"/>
      <c r="AR182" s="8"/>
      <c r="AS182" s="8"/>
      <c r="AT182" s="8"/>
      <c r="AU182" s="8"/>
      <c r="AV182" s="8"/>
      <c r="AW182" s="8"/>
      <c r="AX182" s="8"/>
      <c r="AY182" s="8"/>
      <c r="AZ182" s="8"/>
      <c r="BZ182" s="9"/>
      <c r="CA182" s="9"/>
      <c r="CB182" s="9"/>
      <c r="DM182" s="44">
        <f t="shared" si="438"/>
        <v>176</v>
      </c>
      <c r="DN182" s="41">
        <f t="shared" si="412"/>
        <v>12801925.5</v>
      </c>
      <c r="DO182" s="41">
        <f t="shared" si="439"/>
        <v>164168.42521367522</v>
      </c>
      <c r="DP182" s="42">
        <f t="shared" si="413"/>
        <v>0</v>
      </c>
      <c r="DQ182" s="42">
        <f t="shared" si="414"/>
        <v>0</v>
      </c>
      <c r="DR182" s="42">
        <f t="shared" si="415"/>
        <v>0</v>
      </c>
      <c r="DS182" s="42">
        <f t="shared" si="416"/>
        <v>0</v>
      </c>
      <c r="DT182" s="42">
        <f t="shared" si="417"/>
        <v>0</v>
      </c>
      <c r="DU182" s="42">
        <f t="shared" si="418"/>
        <v>0</v>
      </c>
      <c r="DV182" s="42">
        <f t="shared" si="419"/>
        <v>0</v>
      </c>
      <c r="DW182" s="42">
        <f t="shared" si="420"/>
        <v>0</v>
      </c>
      <c r="DX182" s="42">
        <f t="shared" si="421"/>
        <v>7121102.4834401831</v>
      </c>
      <c r="DY182" s="42">
        <f>IF(DM182="",DY181,DN182-SUM($DO$6:DO182)+SUM($DP$6:DV182)-SUM($DW$6:DW182))</f>
        <v>5680823.0165598169</v>
      </c>
      <c r="DZ182" s="43">
        <f t="shared" si="440"/>
        <v>0.44374754536415767</v>
      </c>
      <c r="EA182" s="43"/>
      <c r="EB182" s="43" t="str">
        <f t="shared" si="398"/>
        <v>False</v>
      </c>
      <c r="EC182" s="41">
        <f t="shared" si="389"/>
        <v>264480</v>
      </c>
      <c r="ED182" s="41">
        <f t="shared" si="390"/>
        <v>686673.49999999988</v>
      </c>
      <c r="EE182" s="41">
        <f t="shared" si="422"/>
        <v>1037621.9999999999</v>
      </c>
      <c r="EF182" s="41">
        <f t="shared" si="441"/>
        <v>14693.333333333334</v>
      </c>
      <c r="EG182" s="42">
        <f t="shared" si="442"/>
        <v>9537.1319444444434</v>
      </c>
      <c r="EH182" s="42">
        <f t="shared" si="443"/>
        <v>7205.7083333333321</v>
      </c>
      <c r="EI182" s="42">
        <f t="shared" si="423"/>
        <v>205707</v>
      </c>
      <c r="EJ182" s="42">
        <f t="shared" si="424"/>
        <v>305188</v>
      </c>
      <c r="EK182" s="42">
        <f t="shared" si="425"/>
        <v>230583</v>
      </c>
      <c r="EL182" s="42">
        <f>IF(DM182="","",EC182-SUM($EF$6:EF182)+SUM($DP$6:DP182))</f>
        <v>58773.33333333442</v>
      </c>
      <c r="EM182" s="42">
        <f>IF(DM182="","",ED182-SUM($EG$6:EG182)+SUM($DQ$6:DQ182))</f>
        <v>381485.27777777228</v>
      </c>
      <c r="EN182" s="42">
        <f>IF(DM182="","",EE182-SUM($EH$6:EH182)+SUM($DR$6:DR182))</f>
        <v>807039.33333333174</v>
      </c>
      <c r="EO182" s="152">
        <f t="shared" si="426"/>
        <v>0.62716880032182543</v>
      </c>
      <c r="EP182" s="43"/>
      <c r="EQ182" s="42">
        <f t="shared" si="427"/>
        <v>448050</v>
      </c>
      <c r="ER182" s="42">
        <f t="shared" si="428"/>
        <v>248100</v>
      </c>
      <c r="ES182" s="42">
        <f t="shared" si="444"/>
        <v>3733.75</v>
      </c>
      <c r="ET182" s="42">
        <f t="shared" si="445"/>
        <v>6122.9807692307695</v>
      </c>
      <c r="EU182" s="42">
        <f t="shared" si="429"/>
        <v>209090</v>
      </c>
      <c r="EV182" s="42">
        <f t="shared" si="430"/>
        <v>85245</v>
      </c>
      <c r="EW182" s="42">
        <f>IF(DM182="","",IF(DS182&gt;0,DS182,EQ182-SUM($ES$6:ES182)+SUM($DS$6:DS182)))</f>
        <v>238960</v>
      </c>
      <c r="EX182" s="42">
        <f>IF(DM182="","",IF(DT182&gt;0,DT182,ER182-SUM($ET$6:ET182)+SUM($DT$6:DT182)))</f>
        <v>162855.38461538684</v>
      </c>
      <c r="EY182" s="43">
        <f t="shared" si="431"/>
        <v>0.6564102564102654</v>
      </c>
      <c r="EZ182" s="43">
        <f t="shared" si="432"/>
        <v>0.53333333333333333</v>
      </c>
      <c r="FA182" s="43"/>
      <c r="FB182" s="42">
        <f t="shared" si="433"/>
        <v>4935000</v>
      </c>
      <c r="FC182" s="42">
        <f t="shared" si="434"/>
        <v>5182000</v>
      </c>
      <c r="FD182" s="41">
        <f t="shared" si="446"/>
        <v>89960.9375</v>
      </c>
      <c r="FE182" s="41">
        <f t="shared" si="447"/>
        <v>32914.583333333336</v>
      </c>
      <c r="FF182" s="42">
        <f t="shared" si="435"/>
        <v>3088904</v>
      </c>
      <c r="FG182" s="42">
        <f t="shared" si="436"/>
        <v>2996387</v>
      </c>
      <c r="FH182" s="42">
        <f>IF(DM182="","",IF(DU182&gt;0,DU182,FB182-SUM($FD$6:FD182)+SUM($DU$6:DU182)))</f>
        <v>1846096.3541666642</v>
      </c>
      <c r="FI182" s="42">
        <f>IF(DM182="","",FC182-SUM($FE$6:FE182)+SUM($DV$6:DV182)-SUM($DW$6:DW182))</f>
        <v>2185613.3333333405</v>
      </c>
      <c r="FJ182" s="152">
        <f t="shared" si="437"/>
        <v>0.39850842023327121</v>
      </c>
      <c r="FN182" s="8"/>
      <c r="FO182" s="8"/>
      <c r="FP182" s="8"/>
      <c r="FQ182" s="8"/>
      <c r="FR182" s="8"/>
      <c r="FS182" s="8"/>
      <c r="FT182" s="8"/>
      <c r="FU182" s="8"/>
      <c r="GC182" s="68">
        <f t="shared" si="401"/>
        <v>177</v>
      </c>
      <c r="GD182" s="78">
        <f t="shared" si="402"/>
        <v>0</v>
      </c>
      <c r="GE182" s="309">
        <f t="shared" si="403"/>
        <v>0.43092381621390791</v>
      </c>
      <c r="GF182" s="78">
        <f t="shared" si="404"/>
        <v>0</v>
      </c>
      <c r="GG182" s="310">
        <f t="shared" si="405"/>
        <v>0.61136200181132927</v>
      </c>
      <c r="GH182" s="78">
        <f t="shared" si="406"/>
        <v>0</v>
      </c>
      <c r="GI182" s="310">
        <f t="shared" si="407"/>
        <v>0.52500000000000002</v>
      </c>
      <c r="GJ182" s="311">
        <f t="shared" si="408"/>
        <v>0</v>
      </c>
      <c r="GK182" s="310">
        <f t="shared" si="409"/>
        <v>0.6317307692307782</v>
      </c>
      <c r="GL182" s="311">
        <f t="shared" si="410"/>
        <v>0</v>
      </c>
      <c r="GM182" s="310">
        <f t="shared" si="411"/>
        <v>0.38636296991861929</v>
      </c>
      <c r="GQ182" s="8"/>
      <c r="HD182" s="13"/>
      <c r="HE182" s="24"/>
      <c r="HF182" s="13"/>
      <c r="HG182" s="14"/>
      <c r="HH182" s="13"/>
      <c r="HI182" s="13"/>
      <c r="HJ182" s="13"/>
      <c r="HK182" s="13"/>
      <c r="HL182" s="13"/>
      <c r="HM182" s="14"/>
      <c r="HN182" s="13"/>
      <c r="HO182" s="13"/>
    </row>
    <row r="183" spans="3:223" x14ac:dyDescent="0.2">
      <c r="C183" s="426">
        <f t="shared" si="346"/>
        <v>44774</v>
      </c>
      <c r="D183" s="155">
        <f t="shared" si="347"/>
        <v>115</v>
      </c>
      <c r="E183" s="155">
        <f t="shared" si="399"/>
        <v>12624583.5</v>
      </c>
      <c r="F183" s="155"/>
      <c r="G183" s="438">
        <f t="shared" si="400"/>
        <v>160895.21688034188</v>
      </c>
      <c r="I183" s="444">
        <f>IF(D183="","",'Mx FORECAST'!DX121)</f>
        <v>6669920.0870726742</v>
      </c>
      <c r="J183" s="155">
        <f>IF(D183="","",'Mx FORECAST'!DP121)</f>
        <v>0</v>
      </c>
      <c r="K183" s="155">
        <f>IF(D183="","",'Mx FORECAST'!DQ121)</f>
        <v>0</v>
      </c>
      <c r="M183" s="155">
        <f>IF(D183="","",'Mx FORECAST'!DR121)</f>
        <v>0</v>
      </c>
      <c r="O183" s="155">
        <f>IF(D183="","",'Mx FORECAST'!DS121)</f>
        <v>0</v>
      </c>
      <c r="Q183" s="155">
        <f>IF(D183="","",'Mx FORECAST'!DT121)</f>
        <v>0</v>
      </c>
      <c r="S183" s="155">
        <f>IF(D183="","",'Mx FORECAST'!DU121)</f>
        <v>0</v>
      </c>
      <c r="U183" s="155">
        <f>IF(D183="","",'Mx FORECAST'!DV121)</f>
        <v>0</v>
      </c>
      <c r="W183" s="540">
        <f>IF(D183="","",'Mx FORECAST'!DY121)</f>
        <v>5954663.4129273258</v>
      </c>
      <c r="X183" s="540"/>
      <c r="Y183" s="437">
        <f>IF(D183="","",'Mx FORECAST'!DZ121)</f>
        <v>0.47167206846287846</v>
      </c>
      <c r="AD183" s="155"/>
      <c r="AF183" s="155"/>
      <c r="AH183" s="155"/>
      <c r="AJ183" s="155"/>
      <c r="AK183" s="8"/>
      <c r="AL183" s="8"/>
      <c r="AM183" s="8"/>
      <c r="AN183" s="8"/>
      <c r="AO183" s="8"/>
      <c r="AP183" s="8"/>
      <c r="AQ183" s="8"/>
      <c r="AR183" s="8"/>
      <c r="AS183" s="8"/>
      <c r="AT183" s="8"/>
      <c r="AU183" s="8"/>
      <c r="AV183" s="8"/>
      <c r="AW183" s="8"/>
      <c r="AX183" s="8"/>
      <c r="AY183" s="8"/>
      <c r="AZ183" s="8"/>
      <c r="BZ183" s="9"/>
      <c r="CA183" s="9"/>
      <c r="CB183" s="9"/>
      <c r="DM183" s="44">
        <f t="shared" si="438"/>
        <v>177</v>
      </c>
      <c r="DN183" s="41">
        <f t="shared" si="412"/>
        <v>12801925.5</v>
      </c>
      <c r="DO183" s="41">
        <f t="shared" si="439"/>
        <v>164168.42521367522</v>
      </c>
      <c r="DP183" s="42">
        <f t="shared" si="413"/>
        <v>0</v>
      </c>
      <c r="DQ183" s="42">
        <f t="shared" si="414"/>
        <v>0</v>
      </c>
      <c r="DR183" s="42">
        <f t="shared" si="415"/>
        <v>0</v>
      </c>
      <c r="DS183" s="42">
        <f t="shared" si="416"/>
        <v>0</v>
      </c>
      <c r="DT183" s="42">
        <f t="shared" si="417"/>
        <v>0</v>
      </c>
      <c r="DU183" s="42">
        <f t="shared" si="418"/>
        <v>0</v>
      </c>
      <c r="DV183" s="42">
        <f t="shared" si="419"/>
        <v>0</v>
      </c>
      <c r="DW183" s="42">
        <f t="shared" si="420"/>
        <v>0</v>
      </c>
      <c r="DX183" s="42">
        <f t="shared" si="421"/>
        <v>7285270.908653859</v>
      </c>
      <c r="DY183" s="42">
        <f>IF(DM183="",DY182,DN183-SUM($DO$6:DO183)+SUM($DP$6:DV183)-SUM($DW$6:DW183))</f>
        <v>5516654.591346141</v>
      </c>
      <c r="DZ183" s="43">
        <f t="shared" si="440"/>
        <v>0.43092381621390791</v>
      </c>
      <c r="EA183" s="43"/>
      <c r="EB183" s="43" t="str">
        <f t="shared" si="398"/>
        <v>False</v>
      </c>
      <c r="EC183" s="41">
        <f t="shared" si="389"/>
        <v>264480</v>
      </c>
      <c r="ED183" s="41">
        <f t="shared" si="390"/>
        <v>686673.49999999988</v>
      </c>
      <c r="EE183" s="41">
        <f t="shared" si="422"/>
        <v>1037621.9999999999</v>
      </c>
      <c r="EF183" s="41">
        <f t="shared" si="441"/>
        <v>14693.333333333334</v>
      </c>
      <c r="EG183" s="42">
        <f t="shared" si="442"/>
        <v>9537.1319444444434</v>
      </c>
      <c r="EH183" s="42">
        <f t="shared" si="443"/>
        <v>7205.7083333333321</v>
      </c>
      <c r="EI183" s="42">
        <f t="shared" si="423"/>
        <v>220400</v>
      </c>
      <c r="EJ183" s="42">
        <f t="shared" si="424"/>
        <v>314725</v>
      </c>
      <c r="EK183" s="42">
        <f t="shared" si="425"/>
        <v>237788</v>
      </c>
      <c r="EL183" s="42">
        <f>IF(DM183="","",EC183-SUM($EF$6:EF183)+SUM($DP$6:DP183))</f>
        <v>44080.000000000931</v>
      </c>
      <c r="EM183" s="42">
        <f>IF(DM183="","",ED183-SUM($EG$6:EG183)+SUM($DQ$6:DQ183))</f>
        <v>371948.14583332778</v>
      </c>
      <c r="EN183" s="42">
        <f>IF(DM183="","",EE183-SUM($EH$6:EH183)+SUM($DR$6:DR183))</f>
        <v>799833.62499999849</v>
      </c>
      <c r="EO183" s="152">
        <f t="shared" si="426"/>
        <v>0.61136200181132927</v>
      </c>
      <c r="EP183" s="43"/>
      <c r="EQ183" s="42">
        <f t="shared" si="427"/>
        <v>448050</v>
      </c>
      <c r="ER183" s="42">
        <f t="shared" si="428"/>
        <v>248100</v>
      </c>
      <c r="ES183" s="42">
        <f t="shared" si="444"/>
        <v>3733.75</v>
      </c>
      <c r="ET183" s="42">
        <f t="shared" si="445"/>
        <v>6122.9807692307695</v>
      </c>
      <c r="EU183" s="42">
        <f t="shared" si="429"/>
        <v>212824</v>
      </c>
      <c r="EV183" s="42">
        <f t="shared" si="430"/>
        <v>91368</v>
      </c>
      <c r="EW183" s="42">
        <f>IF(DM183="","",IF(DS183&gt;0,DS183,EQ183-SUM($ES$6:ES183)+SUM($DS$6:DS183)))</f>
        <v>235226.25</v>
      </c>
      <c r="EX183" s="42">
        <f>IF(DM183="","",IF(DT183&gt;0,DT183,ER183-SUM($ET$6:ET183)+SUM($DT$6:DT183)))</f>
        <v>156732.40384615608</v>
      </c>
      <c r="EY183" s="43">
        <f t="shared" si="431"/>
        <v>0.6317307692307782</v>
      </c>
      <c r="EZ183" s="43">
        <f t="shared" si="432"/>
        <v>0.52500000000000002</v>
      </c>
      <c r="FA183" s="43"/>
      <c r="FB183" s="42">
        <f t="shared" si="433"/>
        <v>4935000</v>
      </c>
      <c r="FC183" s="42">
        <f t="shared" si="434"/>
        <v>5182000</v>
      </c>
      <c r="FD183" s="41">
        <f t="shared" si="446"/>
        <v>89960.9375</v>
      </c>
      <c r="FE183" s="41">
        <f t="shared" si="447"/>
        <v>32914.583333333336</v>
      </c>
      <c r="FF183" s="42">
        <f t="shared" si="435"/>
        <v>3178865</v>
      </c>
      <c r="FG183" s="42">
        <f t="shared" si="436"/>
        <v>3029301</v>
      </c>
      <c r="FH183" s="42">
        <f>IF(DM183="","",IF(DU183&gt;0,DU183,FB183-SUM($FD$6:FD183)+SUM($DU$6:DU183)))</f>
        <v>1756135.4166666642</v>
      </c>
      <c r="FI183" s="42">
        <f>IF(DM183="","",FC183-SUM($FE$6:FE183)+SUM($DV$6:DV183)-SUM($DW$6:DW183))</f>
        <v>2152698.7500000075</v>
      </c>
      <c r="FJ183" s="152">
        <f t="shared" si="437"/>
        <v>0.38636296991861929</v>
      </c>
      <c r="FN183" s="8"/>
      <c r="FO183" s="8"/>
      <c r="FP183" s="8"/>
      <c r="FQ183" s="8"/>
      <c r="FR183" s="8"/>
      <c r="FS183" s="8"/>
      <c r="FT183" s="8"/>
      <c r="FU183" s="8"/>
      <c r="GC183" s="68">
        <f t="shared" si="401"/>
        <v>178</v>
      </c>
      <c r="GD183" s="78">
        <f t="shared" si="402"/>
        <v>0</v>
      </c>
      <c r="GE183" s="309">
        <f t="shared" si="403"/>
        <v>0.41810008706365814</v>
      </c>
      <c r="GF183" s="78">
        <f t="shared" si="404"/>
        <v>0</v>
      </c>
      <c r="GG183" s="310">
        <f t="shared" si="405"/>
        <v>0.59555520330083311</v>
      </c>
      <c r="GH183" s="78">
        <f t="shared" si="406"/>
        <v>0</v>
      </c>
      <c r="GI183" s="310">
        <f t="shared" si="407"/>
        <v>0.51666666666666672</v>
      </c>
      <c r="GJ183" s="311">
        <f t="shared" si="408"/>
        <v>0</v>
      </c>
      <c r="GK183" s="310">
        <f t="shared" si="409"/>
        <v>0.60705128205129111</v>
      </c>
      <c r="GL183" s="311">
        <f t="shared" si="410"/>
        <v>0</v>
      </c>
      <c r="GM183" s="310">
        <f t="shared" si="411"/>
        <v>0.37421751960396743</v>
      </c>
      <c r="GQ183" s="8"/>
      <c r="HD183" s="13"/>
      <c r="HE183" s="24"/>
      <c r="HF183" s="13"/>
      <c r="HG183" s="14"/>
      <c r="HH183" s="13"/>
      <c r="HI183" s="13"/>
      <c r="HJ183" s="13"/>
      <c r="HK183" s="13"/>
      <c r="HL183" s="13"/>
      <c r="HM183" s="14"/>
      <c r="HN183" s="13"/>
      <c r="HO183" s="13"/>
    </row>
    <row r="184" spans="3:223" x14ac:dyDescent="0.2">
      <c r="C184" s="426">
        <f t="shared" si="346"/>
        <v>44805</v>
      </c>
      <c r="D184" s="155">
        <f t="shared" si="347"/>
        <v>116</v>
      </c>
      <c r="E184" s="155">
        <f t="shared" si="399"/>
        <v>12624583.5</v>
      </c>
      <c r="F184" s="155"/>
      <c r="G184" s="438">
        <f t="shared" si="400"/>
        <v>160895.21688034188</v>
      </c>
      <c r="I184" s="444">
        <f>IF(D184="","",'Mx FORECAST'!DX122)</f>
        <v>6830815.3039530162</v>
      </c>
      <c r="J184" s="155">
        <f>IF(D184="","",'Mx FORECAST'!DP122)</f>
        <v>0</v>
      </c>
      <c r="K184" s="155">
        <f>IF(D184="","",'Mx FORECAST'!DQ122)</f>
        <v>0</v>
      </c>
      <c r="M184" s="155">
        <f>IF(D184="","",'Mx FORECAST'!DR122)</f>
        <v>0</v>
      </c>
      <c r="O184" s="155">
        <f>IF(D184="","",'Mx FORECAST'!DS122)</f>
        <v>0</v>
      </c>
      <c r="Q184" s="155">
        <f>IF(D184="","",'Mx FORECAST'!DT122)</f>
        <v>0</v>
      </c>
      <c r="S184" s="155">
        <f>IF(D184="","",'Mx FORECAST'!DU122)</f>
        <v>0</v>
      </c>
      <c r="U184" s="155">
        <f>IF(D184="","",'Mx FORECAST'!DV122)</f>
        <v>0</v>
      </c>
      <c r="W184" s="540">
        <f>IF(D184="","",'Mx FORECAST'!DY122)</f>
        <v>5793768.1960469838</v>
      </c>
      <c r="X184" s="540"/>
      <c r="Y184" s="437">
        <f>IF(D184="","",'Mx FORECAST'!DZ122)</f>
        <v>0.45892747242291071</v>
      </c>
      <c r="AD184" s="155"/>
      <c r="AF184" s="155"/>
      <c r="AH184" s="155"/>
      <c r="AJ184" s="155"/>
      <c r="AK184" s="8"/>
      <c r="AL184" s="8"/>
      <c r="AM184" s="8"/>
      <c r="AN184" s="8"/>
      <c r="AO184" s="8"/>
      <c r="AP184" s="8"/>
      <c r="AQ184" s="8"/>
      <c r="AR184" s="8"/>
      <c r="AS184" s="8"/>
      <c r="AT184" s="8"/>
      <c r="AU184" s="8"/>
      <c r="AV184" s="8"/>
      <c r="AW184" s="8"/>
      <c r="AX184" s="8"/>
      <c r="AY184" s="8"/>
      <c r="AZ184" s="8"/>
      <c r="BZ184" s="9"/>
      <c r="CA184" s="9"/>
      <c r="CB184" s="9"/>
      <c r="DM184" s="44">
        <f t="shared" si="438"/>
        <v>178</v>
      </c>
      <c r="DN184" s="41">
        <f t="shared" si="412"/>
        <v>12801925.5</v>
      </c>
      <c r="DO184" s="41">
        <f t="shared" si="439"/>
        <v>164168.42521367522</v>
      </c>
      <c r="DP184" s="42">
        <f t="shared" si="413"/>
        <v>0</v>
      </c>
      <c r="DQ184" s="42">
        <f t="shared" si="414"/>
        <v>0</v>
      </c>
      <c r="DR184" s="42">
        <f t="shared" si="415"/>
        <v>0</v>
      </c>
      <c r="DS184" s="42">
        <f t="shared" si="416"/>
        <v>0</v>
      </c>
      <c r="DT184" s="42">
        <f t="shared" si="417"/>
        <v>0</v>
      </c>
      <c r="DU184" s="42">
        <f t="shared" si="418"/>
        <v>0</v>
      </c>
      <c r="DV184" s="42">
        <f t="shared" si="419"/>
        <v>0</v>
      </c>
      <c r="DW184" s="42">
        <f t="shared" si="420"/>
        <v>0</v>
      </c>
      <c r="DX184" s="42">
        <f t="shared" si="421"/>
        <v>7449439.333867535</v>
      </c>
      <c r="DY184" s="42">
        <f>IF(DM184="",DY183,DN184-SUM($DO$6:DO184)+SUM($DP$6:DV184)-SUM($DW$6:DW184))</f>
        <v>5352486.166132465</v>
      </c>
      <c r="DZ184" s="43">
        <f t="shared" si="440"/>
        <v>0.41810008706365814</v>
      </c>
      <c r="EA184" s="43"/>
      <c r="EB184" s="43" t="str">
        <f t="shared" si="398"/>
        <v>False</v>
      </c>
      <c r="EC184" s="41">
        <f t="shared" si="389"/>
        <v>264480</v>
      </c>
      <c r="ED184" s="41">
        <f t="shared" si="390"/>
        <v>686673.49999999988</v>
      </c>
      <c r="EE184" s="41">
        <f t="shared" si="422"/>
        <v>1037621.9999999999</v>
      </c>
      <c r="EF184" s="41">
        <f t="shared" si="441"/>
        <v>14693.333333333334</v>
      </c>
      <c r="EG184" s="42">
        <f t="shared" si="442"/>
        <v>9537.1319444444434</v>
      </c>
      <c r="EH184" s="42">
        <f t="shared" si="443"/>
        <v>7205.7083333333321</v>
      </c>
      <c r="EI184" s="42">
        <f t="shared" si="423"/>
        <v>235093</v>
      </c>
      <c r="EJ184" s="42">
        <f t="shared" si="424"/>
        <v>324262</v>
      </c>
      <c r="EK184" s="42">
        <f t="shared" si="425"/>
        <v>244994</v>
      </c>
      <c r="EL184" s="42">
        <f>IF(DM184="","",EC184-SUM($EF$6:EF184)+SUM($DP$6:DP184))</f>
        <v>29386.666666667443</v>
      </c>
      <c r="EM184" s="42">
        <f>IF(DM184="","",ED184-SUM($EG$6:EG184)+SUM($DQ$6:DQ184))</f>
        <v>362411.01388888329</v>
      </c>
      <c r="EN184" s="42">
        <f>IF(DM184="","",EE184-SUM($EH$6:EH184)+SUM($DR$6:DR184))</f>
        <v>792627.91666666523</v>
      </c>
      <c r="EO184" s="152">
        <f t="shared" si="426"/>
        <v>0.59555520330083311</v>
      </c>
      <c r="EP184" s="43"/>
      <c r="EQ184" s="42">
        <f t="shared" si="427"/>
        <v>448050</v>
      </c>
      <c r="ER184" s="42">
        <f t="shared" si="428"/>
        <v>248100</v>
      </c>
      <c r="ES184" s="42">
        <f t="shared" si="444"/>
        <v>3733.75</v>
      </c>
      <c r="ET184" s="42">
        <f t="shared" si="445"/>
        <v>6122.9807692307695</v>
      </c>
      <c r="EU184" s="42">
        <f t="shared" si="429"/>
        <v>216558</v>
      </c>
      <c r="EV184" s="42">
        <f t="shared" si="430"/>
        <v>97491</v>
      </c>
      <c r="EW184" s="42">
        <f>IF(DM184="","",IF(DS184&gt;0,DS184,EQ184-SUM($ES$6:ES184)+SUM($DS$6:DS184)))</f>
        <v>231492.5</v>
      </c>
      <c r="EX184" s="42">
        <f>IF(DM184="","",IF(DT184&gt;0,DT184,ER184-SUM($ET$6:ET184)+SUM($DT$6:DT184)))</f>
        <v>150609.42307692533</v>
      </c>
      <c r="EY184" s="43">
        <f t="shared" si="431"/>
        <v>0.60705128205129111</v>
      </c>
      <c r="EZ184" s="43">
        <f t="shared" si="432"/>
        <v>0.51666666666666672</v>
      </c>
      <c r="FA184" s="43"/>
      <c r="FB184" s="42">
        <f t="shared" si="433"/>
        <v>4935000</v>
      </c>
      <c r="FC184" s="42">
        <f t="shared" si="434"/>
        <v>5182000</v>
      </c>
      <c r="FD184" s="41">
        <f t="shared" si="446"/>
        <v>89960.9375</v>
      </c>
      <c r="FE184" s="41">
        <f t="shared" si="447"/>
        <v>32914.583333333336</v>
      </c>
      <c r="FF184" s="42">
        <f t="shared" si="435"/>
        <v>3268826</v>
      </c>
      <c r="FG184" s="42">
        <f t="shared" si="436"/>
        <v>3062216</v>
      </c>
      <c r="FH184" s="42">
        <f>IF(DM184="","",IF(DU184&gt;0,DU184,FB184-SUM($FD$6:FD184)+SUM($DU$6:DU184)))</f>
        <v>1666174.4791666642</v>
      </c>
      <c r="FI184" s="42">
        <f>IF(DM184="","",FC184-SUM($FE$6:FE184)+SUM($DV$6:DV184)-SUM($DW$6:DW184))</f>
        <v>2119784.1666666744</v>
      </c>
      <c r="FJ184" s="152">
        <f t="shared" si="437"/>
        <v>0.37421751960396743</v>
      </c>
      <c r="FN184" s="8"/>
      <c r="FO184" s="8"/>
      <c r="FP184" s="8"/>
      <c r="FQ184" s="8"/>
      <c r="FR184" s="8"/>
      <c r="FS184" s="8"/>
      <c r="FT184" s="8"/>
      <c r="FU184" s="8"/>
      <c r="GC184" s="68">
        <f t="shared" si="401"/>
        <v>179</v>
      </c>
      <c r="GD184" s="78">
        <f t="shared" si="402"/>
        <v>0</v>
      </c>
      <c r="GE184" s="309">
        <f t="shared" si="403"/>
        <v>0.40527635791340832</v>
      </c>
      <c r="GF184" s="78">
        <f t="shared" si="404"/>
        <v>0</v>
      </c>
      <c r="GG184" s="310">
        <f t="shared" si="405"/>
        <v>0.57974840479033696</v>
      </c>
      <c r="GH184" s="78">
        <f t="shared" si="406"/>
        <v>0</v>
      </c>
      <c r="GI184" s="310">
        <f t="shared" si="407"/>
        <v>0.5083333333333333</v>
      </c>
      <c r="GJ184" s="311">
        <f t="shared" si="408"/>
        <v>0</v>
      </c>
      <c r="GK184" s="310">
        <f t="shared" si="409"/>
        <v>0.58237179487180402</v>
      </c>
      <c r="GL184" s="311">
        <f t="shared" si="410"/>
        <v>0</v>
      </c>
      <c r="GM184" s="310">
        <f t="shared" si="411"/>
        <v>0.36207206928931557</v>
      </c>
      <c r="GQ184" s="8"/>
      <c r="HD184" s="13"/>
      <c r="HE184" s="24"/>
      <c r="HF184" s="13"/>
      <c r="HG184" s="14"/>
      <c r="HH184" s="13"/>
      <c r="HI184" s="13"/>
      <c r="HJ184" s="13"/>
      <c r="HK184" s="13"/>
      <c r="HL184" s="13"/>
      <c r="HM184" s="14"/>
      <c r="HN184" s="13"/>
      <c r="HO184" s="13"/>
    </row>
    <row r="185" spans="3:223" x14ac:dyDescent="0.2">
      <c r="C185" s="426">
        <f t="shared" si="346"/>
        <v>44835</v>
      </c>
      <c r="D185" s="155">
        <f t="shared" si="347"/>
        <v>117</v>
      </c>
      <c r="E185" s="155">
        <f t="shared" si="399"/>
        <v>12624583.5</v>
      </c>
      <c r="F185" s="155"/>
      <c r="G185" s="438">
        <f t="shared" si="400"/>
        <v>160895.21688034188</v>
      </c>
      <c r="I185" s="444">
        <f>IF(D185="","",'Mx FORECAST'!DX123)</f>
        <v>6991710.5208333582</v>
      </c>
      <c r="J185" s="155">
        <f>IF(D185="","",'Mx FORECAST'!DP123)</f>
        <v>0</v>
      </c>
      <c r="K185" s="155">
        <f>IF(D185="","",'Mx FORECAST'!DQ123)</f>
        <v>0</v>
      </c>
      <c r="M185" s="155">
        <f>IF(D185="","",'Mx FORECAST'!DR123)</f>
        <v>0</v>
      </c>
      <c r="O185" s="155">
        <f>IF(D185="","",'Mx FORECAST'!DS123)</f>
        <v>0</v>
      </c>
      <c r="Q185" s="155">
        <f>IF(D185="","",'Mx FORECAST'!DT123)</f>
        <v>0</v>
      </c>
      <c r="S185" s="155">
        <f>IF(D185="","",'Mx FORECAST'!DU123)</f>
        <v>0</v>
      </c>
      <c r="U185" s="155">
        <f>IF(D185="","",'Mx FORECAST'!DV123)</f>
        <v>0</v>
      </c>
      <c r="W185" s="540">
        <f>IF(D185="","",'Mx FORECAST'!DY123)</f>
        <v>5632872.9791666418</v>
      </c>
      <c r="X185" s="540"/>
      <c r="Y185" s="437">
        <f>IF(D185="","",'Mx FORECAST'!DZ123)</f>
        <v>0.44618287638294302</v>
      </c>
      <c r="AD185" s="155"/>
      <c r="AF185" s="155"/>
      <c r="AH185" s="155"/>
      <c r="AJ185" s="155"/>
      <c r="AK185" s="8"/>
      <c r="AL185" s="8"/>
      <c r="AM185" s="8"/>
      <c r="AN185" s="8"/>
      <c r="AO185" s="8"/>
      <c r="AP185" s="8"/>
      <c r="AQ185" s="8"/>
      <c r="AR185" s="8"/>
      <c r="AS185" s="8"/>
      <c r="AT185" s="8"/>
      <c r="AU185" s="8"/>
      <c r="AV185" s="8"/>
      <c r="AW185" s="8"/>
      <c r="AX185" s="8"/>
      <c r="AY185" s="8"/>
      <c r="AZ185" s="8"/>
      <c r="BZ185" s="9"/>
      <c r="CA185" s="9"/>
      <c r="CB185" s="9"/>
      <c r="DM185" s="44">
        <f t="shared" si="438"/>
        <v>179</v>
      </c>
      <c r="DN185" s="41">
        <f t="shared" si="412"/>
        <v>12801925.5</v>
      </c>
      <c r="DO185" s="41">
        <f t="shared" si="439"/>
        <v>164168.42521367522</v>
      </c>
      <c r="DP185" s="42">
        <f t="shared" si="413"/>
        <v>0</v>
      </c>
      <c r="DQ185" s="42">
        <f t="shared" si="414"/>
        <v>0</v>
      </c>
      <c r="DR185" s="42">
        <f t="shared" si="415"/>
        <v>0</v>
      </c>
      <c r="DS185" s="42">
        <f t="shared" si="416"/>
        <v>0</v>
      </c>
      <c r="DT185" s="42">
        <f t="shared" si="417"/>
        <v>0</v>
      </c>
      <c r="DU185" s="42">
        <f t="shared" si="418"/>
        <v>0</v>
      </c>
      <c r="DV185" s="42">
        <f t="shared" si="419"/>
        <v>0</v>
      </c>
      <c r="DW185" s="42">
        <f t="shared" si="420"/>
        <v>0</v>
      </c>
      <c r="DX185" s="42">
        <f t="shared" si="421"/>
        <v>7613607.7590812109</v>
      </c>
      <c r="DY185" s="42">
        <f>IF(DM185="",DY184,DN185-SUM($DO$6:DO185)+SUM($DP$6:DV185)-SUM($DW$6:DW185))</f>
        <v>5188317.7409187891</v>
      </c>
      <c r="DZ185" s="43">
        <f t="shared" si="440"/>
        <v>0.40527635791340832</v>
      </c>
      <c r="EA185" s="43"/>
      <c r="EB185" s="43" t="str">
        <f t="shared" si="398"/>
        <v>False</v>
      </c>
      <c r="EC185" s="41">
        <f t="shared" si="389"/>
        <v>264480</v>
      </c>
      <c r="ED185" s="41">
        <f t="shared" si="390"/>
        <v>686673.49999999988</v>
      </c>
      <c r="EE185" s="41">
        <f t="shared" si="422"/>
        <v>1037621.9999999999</v>
      </c>
      <c r="EF185" s="41">
        <f t="shared" si="441"/>
        <v>14693.333333333334</v>
      </c>
      <c r="EG185" s="42">
        <f t="shared" si="442"/>
        <v>9537.1319444444434</v>
      </c>
      <c r="EH185" s="42">
        <f t="shared" si="443"/>
        <v>7205.7083333333321</v>
      </c>
      <c r="EI185" s="42">
        <f t="shared" si="423"/>
        <v>249787</v>
      </c>
      <c r="EJ185" s="42">
        <f t="shared" si="424"/>
        <v>333800</v>
      </c>
      <c r="EK185" s="42">
        <f t="shared" si="425"/>
        <v>252200</v>
      </c>
      <c r="EL185" s="42">
        <f>IF(DM185="","",EC185-SUM($EF$6:EF185)+SUM($DP$6:DP185))</f>
        <v>14693.333333333954</v>
      </c>
      <c r="EM185" s="42">
        <f>IF(DM185="","",ED185-SUM($EG$6:EG185)+SUM($DQ$6:DQ185))</f>
        <v>352873.88194443879</v>
      </c>
      <c r="EN185" s="42">
        <f>IF(DM185="","",EE185-SUM($EH$6:EH185)+SUM($DR$6:DR185))</f>
        <v>785422.20833333198</v>
      </c>
      <c r="EO185" s="152">
        <f t="shared" si="426"/>
        <v>0.57974840479033696</v>
      </c>
      <c r="EP185" s="43"/>
      <c r="EQ185" s="42">
        <f t="shared" si="427"/>
        <v>448050</v>
      </c>
      <c r="ER185" s="42">
        <f t="shared" si="428"/>
        <v>248100</v>
      </c>
      <c r="ES185" s="42">
        <f t="shared" si="444"/>
        <v>3733.75</v>
      </c>
      <c r="ET185" s="42">
        <f t="shared" si="445"/>
        <v>6122.9807692307695</v>
      </c>
      <c r="EU185" s="42">
        <f t="shared" si="429"/>
        <v>220291</v>
      </c>
      <c r="EV185" s="42">
        <f t="shared" si="430"/>
        <v>103614</v>
      </c>
      <c r="EW185" s="42">
        <f>IF(DM185="","",IF(DS185&gt;0,DS185,EQ185-SUM($ES$6:ES185)+SUM($DS$6:DS185)))</f>
        <v>227758.75</v>
      </c>
      <c r="EX185" s="42">
        <f>IF(DM185="","",IF(DT185&gt;0,DT185,ER185-SUM($ET$6:ET185)+SUM($DT$6:DT185)))</f>
        <v>144486.44230769458</v>
      </c>
      <c r="EY185" s="43">
        <f t="shared" si="431"/>
        <v>0.58237179487180402</v>
      </c>
      <c r="EZ185" s="43">
        <f t="shared" si="432"/>
        <v>0.5083333333333333</v>
      </c>
      <c r="FA185" s="43"/>
      <c r="FB185" s="42">
        <f t="shared" si="433"/>
        <v>4935000</v>
      </c>
      <c r="FC185" s="42">
        <f t="shared" si="434"/>
        <v>5182000</v>
      </c>
      <c r="FD185" s="41">
        <f t="shared" si="446"/>
        <v>89960.9375</v>
      </c>
      <c r="FE185" s="41">
        <f t="shared" si="447"/>
        <v>32914.583333333336</v>
      </c>
      <c r="FF185" s="42">
        <f t="shared" si="435"/>
        <v>3358786</v>
      </c>
      <c r="FG185" s="42">
        <f t="shared" si="436"/>
        <v>3095130</v>
      </c>
      <c r="FH185" s="42">
        <f>IF(DM185="","",IF(DU185&gt;0,DU185,FB185-SUM($FD$6:FD185)+SUM($DU$6:DU185)))</f>
        <v>1576213.5416666642</v>
      </c>
      <c r="FI185" s="42">
        <f>IF(DM185="","",FC185-SUM($FE$6:FE185)+SUM($DV$6:DV185)-SUM($DW$6:DW185))</f>
        <v>2086869.5833333414</v>
      </c>
      <c r="FJ185" s="152">
        <f t="shared" si="437"/>
        <v>0.36207206928931557</v>
      </c>
      <c r="FN185" s="8"/>
      <c r="FO185" s="8"/>
      <c r="FP185" s="8"/>
      <c r="FQ185" s="8"/>
      <c r="FR185" s="8"/>
      <c r="FS185" s="8"/>
      <c r="FT185" s="8"/>
      <c r="FU185" s="8"/>
      <c r="GC185" s="68">
        <f t="shared" si="401"/>
        <v>180</v>
      </c>
      <c r="GD185" s="78">
        <f t="shared" si="402"/>
        <v>264480</v>
      </c>
      <c r="GE185" s="309">
        <f t="shared" si="403"/>
        <v>0.41311202097724387</v>
      </c>
      <c r="GF185" s="78">
        <f t="shared" si="404"/>
        <v>264480</v>
      </c>
      <c r="GG185" s="310">
        <f t="shared" si="405"/>
        <v>0.696927958937544</v>
      </c>
      <c r="GH185" s="78">
        <f t="shared" si="406"/>
        <v>0</v>
      </c>
      <c r="GI185" s="310">
        <f t="shared" si="407"/>
        <v>0.5</v>
      </c>
      <c r="GJ185" s="311">
        <f t="shared" si="408"/>
        <v>0</v>
      </c>
      <c r="GK185" s="310">
        <f t="shared" si="409"/>
        <v>0.55769230769231692</v>
      </c>
      <c r="GL185" s="311">
        <f t="shared" si="410"/>
        <v>0</v>
      </c>
      <c r="GM185" s="310">
        <f t="shared" si="411"/>
        <v>0.34992661897466371</v>
      </c>
      <c r="GQ185" s="8"/>
      <c r="HD185" s="13"/>
      <c r="HE185" s="24"/>
      <c r="HF185" s="13"/>
      <c r="HG185" s="14"/>
      <c r="HH185" s="13"/>
      <c r="HI185" s="13"/>
      <c r="HJ185" s="13"/>
      <c r="HK185" s="13"/>
      <c r="HL185" s="13"/>
      <c r="HM185" s="14"/>
      <c r="HN185" s="13"/>
      <c r="HO185" s="13"/>
    </row>
    <row r="186" spans="3:223" x14ac:dyDescent="0.2">
      <c r="C186" s="426">
        <f t="shared" si="346"/>
        <v>44866</v>
      </c>
      <c r="D186" s="155">
        <f t="shared" si="347"/>
        <v>118</v>
      </c>
      <c r="E186" s="155">
        <f t="shared" si="399"/>
        <v>12624583.5</v>
      </c>
      <c r="F186" s="155"/>
      <c r="G186" s="438">
        <f t="shared" si="400"/>
        <v>160895.21688034188</v>
      </c>
      <c r="I186" s="444">
        <f>IF(D186="","",'Mx FORECAST'!DX124)</f>
        <v>7152605.7377137002</v>
      </c>
      <c r="J186" s="155">
        <f>IF(D186="","",'Mx FORECAST'!DP124)</f>
        <v>0</v>
      </c>
      <c r="K186" s="155">
        <f>IF(D186="","",'Mx FORECAST'!DQ124)</f>
        <v>0</v>
      </c>
      <c r="M186" s="155">
        <f>IF(D186="","",'Mx FORECAST'!DR124)</f>
        <v>0</v>
      </c>
      <c r="O186" s="155">
        <f>IF(D186="","",'Mx FORECAST'!DS124)</f>
        <v>0</v>
      </c>
      <c r="Q186" s="155">
        <f>IF(D186="","",'Mx FORECAST'!DT124)</f>
        <v>0</v>
      </c>
      <c r="S186" s="155">
        <f>IF(D186="","",'Mx FORECAST'!DU124)</f>
        <v>0</v>
      </c>
      <c r="U186" s="155">
        <f>IF(D186="","",'Mx FORECAST'!DV124)</f>
        <v>0</v>
      </c>
      <c r="W186" s="540">
        <f>IF(D186="","",'Mx FORECAST'!DY124)</f>
        <v>5471977.7622862998</v>
      </c>
      <c r="X186" s="540"/>
      <c r="Y186" s="437">
        <f>IF(D186="","",'Mx FORECAST'!DZ124)</f>
        <v>0.43343828034297527</v>
      </c>
      <c r="AD186" s="155"/>
      <c r="AF186" s="155"/>
      <c r="AH186" s="155"/>
      <c r="AJ186" s="155"/>
      <c r="AK186" s="8"/>
      <c r="AL186" s="8"/>
      <c r="AM186" s="8"/>
      <c r="AN186" s="8"/>
      <c r="AO186" s="8"/>
      <c r="AP186" s="8"/>
      <c r="AQ186" s="8"/>
      <c r="AR186" s="8"/>
      <c r="AS186" s="8"/>
      <c r="AT186" s="8"/>
      <c r="AU186" s="8"/>
      <c r="AV186" s="8"/>
      <c r="AW186" s="8"/>
      <c r="AX186" s="8"/>
      <c r="AY186" s="8"/>
      <c r="AZ186" s="8"/>
      <c r="BZ186" s="9"/>
      <c r="CA186" s="9"/>
      <c r="CB186" s="9"/>
      <c r="DM186" s="44">
        <f t="shared" si="438"/>
        <v>180</v>
      </c>
      <c r="DN186" s="41">
        <f t="shared" si="412"/>
        <v>12801925.5</v>
      </c>
      <c r="DO186" s="41">
        <f t="shared" si="439"/>
        <v>164168.42521367522</v>
      </c>
      <c r="DP186" s="42">
        <f t="shared" si="413"/>
        <v>264480</v>
      </c>
      <c r="DQ186" s="42">
        <f t="shared" si="414"/>
        <v>0</v>
      </c>
      <c r="DR186" s="42">
        <f t="shared" si="415"/>
        <v>0</v>
      </c>
      <c r="DS186" s="42">
        <f t="shared" si="416"/>
        <v>0</v>
      </c>
      <c r="DT186" s="42">
        <f t="shared" si="417"/>
        <v>0</v>
      </c>
      <c r="DU186" s="42">
        <f t="shared" si="418"/>
        <v>0</v>
      </c>
      <c r="DV186" s="42">
        <f t="shared" si="419"/>
        <v>0</v>
      </c>
      <c r="DW186" s="42">
        <f t="shared" si="420"/>
        <v>0</v>
      </c>
      <c r="DX186" s="42">
        <f t="shared" si="421"/>
        <v>7513296.1842948869</v>
      </c>
      <c r="DY186" s="42">
        <f>IF(DM186="",DY185,DN186-SUM($DO$6:DO186)+SUM($DP$6:DV186)-SUM($DW$6:DW186))</f>
        <v>5288629.3157051131</v>
      </c>
      <c r="DZ186" s="43">
        <f t="shared" si="440"/>
        <v>0.41311202097724387</v>
      </c>
      <c r="EA186" s="43"/>
      <c r="EB186" s="43" t="str">
        <f t="shared" si="398"/>
        <v>False</v>
      </c>
      <c r="EC186" s="41">
        <f t="shared" si="389"/>
        <v>264480</v>
      </c>
      <c r="ED186" s="41">
        <f t="shared" si="390"/>
        <v>686673.49999999988</v>
      </c>
      <c r="EE186" s="41">
        <f t="shared" si="422"/>
        <v>1037621.9999999999</v>
      </c>
      <c r="EF186" s="41">
        <f t="shared" si="441"/>
        <v>14693.333333333334</v>
      </c>
      <c r="EG186" s="42">
        <f t="shared" si="442"/>
        <v>9537.1319444444434</v>
      </c>
      <c r="EH186" s="42">
        <f t="shared" si="443"/>
        <v>7205.7083333333321</v>
      </c>
      <c r="EI186" s="42">
        <f t="shared" si="423"/>
        <v>0</v>
      </c>
      <c r="EJ186" s="42">
        <f t="shared" si="424"/>
        <v>343337</v>
      </c>
      <c r="EK186" s="42">
        <f t="shared" si="425"/>
        <v>259406</v>
      </c>
      <c r="EL186" s="42">
        <f>IF(DM186="","",EC186-SUM($EF$6:EF186)+SUM($DP$6:DP186))</f>
        <v>264480.00000000047</v>
      </c>
      <c r="EM186" s="42">
        <f>IF(DM186="","",ED186-SUM($EG$6:EG186)+SUM($DQ$6:DQ186))</f>
        <v>343336.7499999943</v>
      </c>
      <c r="EN186" s="42">
        <f>IF(DM186="","",EE186-SUM($EH$6:EH186)+SUM($DR$6:DR186))</f>
        <v>778216.49999999872</v>
      </c>
      <c r="EO186" s="152">
        <f t="shared" si="426"/>
        <v>0.696927958937544</v>
      </c>
      <c r="EP186" s="43"/>
      <c r="EQ186" s="42">
        <f t="shared" si="427"/>
        <v>448050</v>
      </c>
      <c r="ER186" s="42">
        <f t="shared" si="428"/>
        <v>248100</v>
      </c>
      <c r="ES186" s="42">
        <f t="shared" si="444"/>
        <v>3733.75</v>
      </c>
      <c r="ET186" s="42">
        <f t="shared" si="445"/>
        <v>6122.9807692307695</v>
      </c>
      <c r="EU186" s="42">
        <f t="shared" si="429"/>
        <v>224025</v>
      </c>
      <c r="EV186" s="42">
        <f t="shared" si="430"/>
        <v>109737</v>
      </c>
      <c r="EW186" s="42">
        <f>IF(DM186="","",IF(DS186&gt;0,DS186,EQ186-SUM($ES$6:ES186)+SUM($DS$6:DS186)))</f>
        <v>224025</v>
      </c>
      <c r="EX186" s="42">
        <f>IF(DM186="","",IF(DT186&gt;0,DT186,ER186-SUM($ET$6:ET186)+SUM($DT$6:DT186)))</f>
        <v>138363.46153846383</v>
      </c>
      <c r="EY186" s="43">
        <f t="shared" si="431"/>
        <v>0.55769230769231692</v>
      </c>
      <c r="EZ186" s="43">
        <f t="shared" si="432"/>
        <v>0.5</v>
      </c>
      <c r="FA186" s="43"/>
      <c r="FB186" s="42">
        <f t="shared" si="433"/>
        <v>4935000</v>
      </c>
      <c r="FC186" s="42">
        <f t="shared" si="434"/>
        <v>5182000</v>
      </c>
      <c r="FD186" s="41">
        <f t="shared" si="446"/>
        <v>89960.9375</v>
      </c>
      <c r="FE186" s="41">
        <f t="shared" si="447"/>
        <v>32914.583333333336</v>
      </c>
      <c r="FF186" s="42">
        <f t="shared" si="435"/>
        <v>3448747</v>
      </c>
      <c r="FG186" s="42">
        <f t="shared" si="436"/>
        <v>3128045</v>
      </c>
      <c r="FH186" s="42">
        <f>IF(DM186="","",IF(DU186&gt;0,DU186,FB186-SUM($FD$6:FD186)+SUM($DU$6:DU186)))</f>
        <v>1486252.6041666642</v>
      </c>
      <c r="FI186" s="42">
        <f>IF(DM186="","",FC186-SUM($FE$6:FE186)+SUM($DV$6:DV186)-SUM($DW$6:DW186))</f>
        <v>2053955.0000000084</v>
      </c>
      <c r="FJ186" s="152">
        <f t="shared" si="437"/>
        <v>0.34992661897466371</v>
      </c>
      <c r="FN186" s="8"/>
      <c r="FO186" s="8"/>
      <c r="FP186" s="8"/>
      <c r="FQ186" s="8"/>
      <c r="FR186" s="8"/>
      <c r="FS186" s="8"/>
      <c r="FT186" s="8"/>
      <c r="FU186" s="8"/>
      <c r="GC186" s="68"/>
      <c r="GD186" s="78" t="str">
        <f t="shared" ref="GD186:GD217" si="448">IF(DM187="","",SUM(DQ187:DV187))</f>
        <v/>
      </c>
      <c r="GE186" s="309"/>
      <c r="GF186" s="309"/>
      <c r="GQ186" s="8"/>
      <c r="HD186" s="13"/>
      <c r="HE186" s="24"/>
      <c r="HF186" s="13"/>
      <c r="HG186" s="14"/>
      <c r="HH186" s="13"/>
      <c r="HI186" s="13"/>
      <c r="HJ186" s="13"/>
      <c r="HK186" s="13"/>
      <c r="HL186" s="13"/>
      <c r="HM186" s="14"/>
      <c r="HN186" s="13"/>
      <c r="HO186" s="13"/>
    </row>
    <row r="187" spans="3:223" x14ac:dyDescent="0.2">
      <c r="C187" s="426">
        <f t="shared" si="346"/>
        <v>44896</v>
      </c>
      <c r="D187" s="155">
        <f t="shared" si="347"/>
        <v>119</v>
      </c>
      <c r="E187" s="155">
        <f t="shared" si="399"/>
        <v>12624583.5</v>
      </c>
      <c r="F187" s="155"/>
      <c r="G187" s="438">
        <f t="shared" si="400"/>
        <v>160895.21688034188</v>
      </c>
      <c r="I187" s="444">
        <f>IF(D187="","",'Mx FORECAST'!DX125)</f>
        <v>7313500.9545940422</v>
      </c>
      <c r="J187" s="155">
        <f>IF(D187="","",'Mx FORECAST'!DP125)</f>
        <v>0</v>
      </c>
      <c r="K187" s="155">
        <f>IF(D187="","",'Mx FORECAST'!DQ125)</f>
        <v>0</v>
      </c>
      <c r="M187" s="155">
        <f>IF(D187="","",'Mx FORECAST'!DR125)</f>
        <v>0</v>
      </c>
      <c r="O187" s="155">
        <f>IF(D187="","",'Mx FORECAST'!DS125)</f>
        <v>0</v>
      </c>
      <c r="Q187" s="155">
        <f>IF(D187="","",'Mx FORECAST'!DT125)</f>
        <v>0</v>
      </c>
      <c r="S187" s="155">
        <f>IF(D187="","",'Mx FORECAST'!DU125)</f>
        <v>0</v>
      </c>
      <c r="U187" s="155">
        <f>IF(D187="","",'Mx FORECAST'!DV125)</f>
        <v>0</v>
      </c>
      <c r="W187" s="540">
        <f>IF(D187="","",'Mx FORECAST'!DY125)</f>
        <v>5311082.5454059578</v>
      </c>
      <c r="X187" s="540"/>
      <c r="Y187" s="437">
        <f>IF(D187="","",'Mx FORECAST'!DZ125)</f>
        <v>0.42069368430300752</v>
      </c>
      <c r="AD187" s="155"/>
      <c r="AF187" s="155"/>
      <c r="AH187" s="155"/>
      <c r="AJ187" s="155"/>
      <c r="AK187" s="8"/>
      <c r="AL187" s="8"/>
      <c r="AM187" s="8"/>
      <c r="AN187" s="8"/>
      <c r="AO187" s="8"/>
      <c r="AP187" s="8"/>
      <c r="AQ187" s="8"/>
      <c r="AR187" s="8"/>
      <c r="AS187" s="8"/>
      <c r="AT187" s="8"/>
      <c r="AU187" s="8"/>
      <c r="AV187" s="8"/>
      <c r="AW187" s="8"/>
      <c r="AX187" s="8"/>
      <c r="AY187" s="8"/>
      <c r="AZ187" s="8"/>
      <c r="BZ187" s="9"/>
      <c r="CA187" s="9"/>
      <c r="CB187" s="9"/>
      <c r="DM187" s="44"/>
      <c r="DN187" s="41"/>
      <c r="DO187" s="41"/>
      <c r="DP187" s="41"/>
      <c r="DQ187" s="42"/>
      <c r="DR187" s="42"/>
      <c r="DS187" s="42"/>
      <c r="DT187" s="42"/>
      <c r="DU187" s="42"/>
      <c r="DV187" s="42"/>
      <c r="DW187" s="42"/>
      <c r="DX187" s="42"/>
      <c r="DY187" s="42"/>
      <c r="DZ187" s="43"/>
      <c r="EA187" s="43"/>
      <c r="EB187" s="43"/>
      <c r="EC187" s="43"/>
      <c r="ED187" s="41"/>
      <c r="EE187" s="41"/>
      <c r="EF187" s="41"/>
      <c r="EG187" s="42"/>
      <c r="EH187" s="42"/>
      <c r="EI187" s="42"/>
      <c r="EJ187" s="42"/>
      <c r="EK187" s="42"/>
      <c r="EL187" s="42"/>
      <c r="EM187" s="42"/>
      <c r="EN187" s="42"/>
      <c r="EO187" s="42"/>
      <c r="EP187" s="43"/>
      <c r="EQ187" s="42"/>
      <c r="ER187" s="42"/>
      <c r="ES187" s="42"/>
      <c r="ET187" s="42"/>
      <c r="EU187" s="42"/>
      <c r="EV187" s="42"/>
      <c r="EW187" s="42"/>
      <c r="EX187" s="42"/>
      <c r="EY187" s="43"/>
      <c r="EZ187" s="43"/>
      <c r="FA187" s="43"/>
      <c r="FB187" s="42"/>
      <c r="FC187" s="42"/>
      <c r="FD187" s="41"/>
      <c r="FE187" s="41"/>
      <c r="FF187" s="42"/>
      <c r="FG187" s="42"/>
      <c r="FH187" s="42"/>
      <c r="FI187" s="42"/>
      <c r="FJ187" s="42"/>
      <c r="FN187" s="8"/>
      <c r="FO187" s="8"/>
      <c r="FP187" s="8"/>
      <c r="FQ187" s="8"/>
      <c r="FR187" s="8"/>
      <c r="FS187" s="8"/>
      <c r="FT187" s="8"/>
      <c r="FU187" s="8"/>
      <c r="GC187" s="68"/>
      <c r="GD187" s="78" t="str">
        <f t="shared" si="448"/>
        <v/>
      </c>
      <c r="GE187" s="309"/>
      <c r="GF187" s="309"/>
      <c r="GQ187" s="8"/>
      <c r="HD187" s="13"/>
      <c r="HE187" s="24"/>
      <c r="HF187" s="13"/>
      <c r="HG187" s="14"/>
      <c r="HH187" s="13"/>
      <c r="HI187" s="13"/>
      <c r="HJ187" s="13"/>
      <c r="HK187" s="13"/>
      <c r="HL187" s="13"/>
      <c r="HM187" s="14"/>
      <c r="HN187" s="13"/>
      <c r="HO187" s="13"/>
    </row>
    <row r="188" spans="3:223" x14ac:dyDescent="0.2">
      <c r="C188" s="426">
        <f t="shared" si="346"/>
        <v>44927</v>
      </c>
      <c r="D188" s="155">
        <f t="shared" si="347"/>
        <v>120</v>
      </c>
      <c r="E188" s="155">
        <f t="shared" si="399"/>
        <v>12624583.5</v>
      </c>
      <c r="F188" s="155"/>
      <c r="G188" s="438">
        <f t="shared" si="400"/>
        <v>160895.21688034188</v>
      </c>
      <c r="I188" s="444">
        <f>IF(D188="","",'Mx FORECAST'!DX126)</f>
        <v>7026346.1714743841</v>
      </c>
      <c r="J188" s="155">
        <f>IF(D188="","",'Mx FORECAST'!DP126)</f>
        <v>0</v>
      </c>
      <c r="K188" s="155">
        <f>IF(D188="","",'Mx FORECAST'!DQ126)</f>
        <v>0</v>
      </c>
      <c r="M188" s="155">
        <f>IF(D188="","",'Mx FORECAST'!DR126)</f>
        <v>0</v>
      </c>
      <c r="O188" s="155">
        <f>IF(D188="","",'Mx FORECAST'!DS126)</f>
        <v>448050</v>
      </c>
      <c r="Q188" s="155">
        <f>IF(D188="","",'Mx FORECAST'!DT126)</f>
        <v>0</v>
      </c>
      <c r="S188" s="155">
        <f>IF(D188="","",'Mx FORECAST'!DU126)</f>
        <v>0</v>
      </c>
      <c r="U188" s="155">
        <f>IF(D188="","",'Mx FORECAST'!DV126)</f>
        <v>0</v>
      </c>
      <c r="W188" s="540">
        <f>IF(D188="","",'Mx FORECAST'!DY126)</f>
        <v>5598237.3285256159</v>
      </c>
      <c r="X188" s="540"/>
      <c r="Y188" s="437">
        <f>IF(D188="","",'Mx FORECAST'!DZ126)</f>
        <v>0.44343936800177336</v>
      </c>
      <c r="AD188" s="155"/>
      <c r="AF188" s="155"/>
      <c r="AH188" s="155"/>
      <c r="AJ188" s="155"/>
      <c r="AK188" s="8"/>
      <c r="AL188" s="8"/>
      <c r="AM188" s="8"/>
      <c r="AN188" s="8"/>
      <c r="AO188" s="8"/>
      <c r="AP188" s="8"/>
      <c r="AQ188" s="8"/>
      <c r="AR188" s="8"/>
      <c r="AS188" s="8"/>
      <c r="AT188" s="8"/>
      <c r="AU188" s="8"/>
      <c r="AV188" s="8"/>
      <c r="AW188" s="8"/>
      <c r="AX188" s="8"/>
      <c r="AY188" s="8"/>
      <c r="AZ188" s="8"/>
      <c r="BZ188" s="9"/>
      <c r="CA188" s="9"/>
      <c r="CB188" s="9"/>
      <c r="DM188" s="44"/>
      <c r="DN188" s="41"/>
      <c r="DO188" s="41"/>
      <c r="DP188" s="41"/>
      <c r="DQ188" s="42"/>
      <c r="DR188" s="42"/>
      <c r="DS188" s="42"/>
      <c r="DT188" s="42"/>
      <c r="DU188" s="42"/>
      <c r="DV188" s="42"/>
      <c r="DW188" s="42"/>
      <c r="DX188" s="42"/>
      <c r="DY188" s="42"/>
      <c r="DZ188" s="43"/>
      <c r="EA188" s="43"/>
      <c r="EB188" s="43"/>
      <c r="EC188" s="43"/>
      <c r="ED188" s="41"/>
      <c r="EE188" s="41"/>
      <c r="EF188" s="41"/>
      <c r="EG188" s="42"/>
      <c r="EH188" s="42"/>
      <c r="EI188" s="42"/>
      <c r="EJ188" s="42"/>
      <c r="EK188" s="42"/>
      <c r="EL188" s="42"/>
      <c r="EM188" s="42"/>
      <c r="EN188" s="42"/>
      <c r="EO188" s="42"/>
      <c r="EP188" s="43"/>
      <c r="EQ188" s="42"/>
      <c r="ER188" s="42"/>
      <c r="ES188" s="42"/>
      <c r="ET188" s="42"/>
      <c r="EU188" s="42"/>
      <c r="EV188" s="42"/>
      <c r="EW188" s="42"/>
      <c r="EX188" s="42"/>
      <c r="EY188" s="43"/>
      <c r="EZ188" s="43"/>
      <c r="FA188" s="43"/>
      <c r="FB188" s="42"/>
      <c r="FC188" s="42"/>
      <c r="FD188" s="41"/>
      <c r="FE188" s="41"/>
      <c r="FF188" s="42"/>
      <c r="FG188" s="42"/>
      <c r="FH188" s="42"/>
      <c r="FI188" s="42"/>
      <c r="FJ188" s="42"/>
      <c r="FN188" s="8"/>
      <c r="FO188" s="8"/>
      <c r="FP188" s="8"/>
      <c r="FQ188" s="8"/>
      <c r="FR188" s="8"/>
      <c r="FS188" s="8"/>
      <c r="FT188" s="8"/>
      <c r="FU188" s="8"/>
      <c r="GC188" s="68"/>
      <c r="GD188" s="78" t="str">
        <f t="shared" si="448"/>
        <v/>
      </c>
      <c r="GE188" s="309"/>
      <c r="GF188" s="309"/>
      <c r="GQ188" s="8"/>
      <c r="HD188" s="13"/>
      <c r="HE188" s="24"/>
      <c r="HF188" s="13"/>
      <c r="HG188" s="14"/>
      <c r="HH188" s="13"/>
      <c r="HI188" s="13"/>
      <c r="HJ188" s="13"/>
      <c r="HK188" s="13"/>
      <c r="HL188" s="13"/>
      <c r="HM188" s="14"/>
      <c r="HN188" s="13"/>
      <c r="HO188" s="13"/>
    </row>
    <row r="189" spans="3:223" x14ac:dyDescent="0.2">
      <c r="C189" s="426">
        <f t="shared" si="346"/>
        <v>44958</v>
      </c>
      <c r="D189" s="155">
        <f t="shared" si="347"/>
        <v>121</v>
      </c>
      <c r="E189" s="155">
        <f t="shared" si="399"/>
        <v>12624583.5</v>
      </c>
      <c r="F189" s="155"/>
      <c r="G189" s="438">
        <f t="shared" si="400"/>
        <v>160895.21688034188</v>
      </c>
      <c r="I189" s="444">
        <f>IF(D189="","",'Mx FORECAST'!DX127)</f>
        <v>7187241.3883547261</v>
      </c>
      <c r="J189" s="155">
        <f>IF(D189="","",'Mx FORECAST'!DP127)</f>
        <v>0</v>
      </c>
      <c r="K189" s="155">
        <f>IF(D189="","",'Mx FORECAST'!DQ127)</f>
        <v>0</v>
      </c>
      <c r="M189" s="155">
        <f>IF(D189="","",'Mx FORECAST'!DR127)</f>
        <v>0</v>
      </c>
      <c r="O189" s="155">
        <f>IF(D189="","",'Mx FORECAST'!DS127)</f>
        <v>0</v>
      </c>
      <c r="Q189" s="155">
        <f>IF(D189="","",'Mx FORECAST'!DT127)</f>
        <v>0</v>
      </c>
      <c r="S189" s="155">
        <f>IF(D189="","",'Mx FORECAST'!DU127)</f>
        <v>0</v>
      </c>
      <c r="U189" s="155">
        <f>IF(D189="","",'Mx FORECAST'!DV127)</f>
        <v>0</v>
      </c>
      <c r="W189" s="540">
        <f>IF(D189="","",'Mx FORECAST'!DY127)</f>
        <v>5437342.1116452739</v>
      </c>
      <c r="X189" s="540"/>
      <c r="Y189" s="437">
        <f>IF(D189="","",'Mx FORECAST'!DZ127)</f>
        <v>0.43069477196180561</v>
      </c>
      <c r="AD189" s="155"/>
      <c r="AF189" s="155"/>
      <c r="AH189" s="155"/>
      <c r="AJ189" s="155"/>
      <c r="AK189" s="8"/>
      <c r="AL189" s="8"/>
      <c r="AM189" s="8"/>
      <c r="AN189" s="8"/>
      <c r="AO189" s="8"/>
      <c r="AP189" s="8"/>
      <c r="AQ189" s="8"/>
      <c r="AR189" s="8"/>
      <c r="AS189" s="8"/>
      <c r="AT189" s="8"/>
      <c r="AU189" s="8"/>
      <c r="AV189" s="8"/>
      <c r="AW189" s="8"/>
      <c r="AX189" s="8"/>
      <c r="AY189" s="8"/>
      <c r="AZ189" s="8"/>
      <c r="BZ189" s="9"/>
      <c r="CA189" s="9"/>
      <c r="CB189" s="9"/>
      <c r="DM189" s="44"/>
      <c r="DN189" s="41"/>
      <c r="DO189" s="41"/>
      <c r="DP189" s="41"/>
      <c r="DQ189" s="42"/>
      <c r="DR189" s="42"/>
      <c r="DS189" s="42"/>
      <c r="DT189" s="42"/>
      <c r="DU189" s="42"/>
      <c r="DV189" s="42"/>
      <c r="DW189" s="42"/>
      <c r="DX189" s="42"/>
      <c r="DY189" s="42"/>
      <c r="DZ189" s="43"/>
      <c r="EA189" s="43"/>
      <c r="EB189" s="43"/>
      <c r="EC189" s="43"/>
      <c r="ED189" s="41"/>
      <c r="EE189" s="41"/>
      <c r="EF189" s="41"/>
      <c r="EG189" s="42"/>
      <c r="EH189" s="42"/>
      <c r="EI189" s="42"/>
      <c r="EJ189" s="42"/>
      <c r="EK189" s="42"/>
      <c r="EL189" s="42"/>
      <c r="EM189" s="42"/>
      <c r="EN189" s="42"/>
      <c r="EO189" s="42"/>
      <c r="EP189" s="43"/>
      <c r="EQ189" s="42"/>
      <c r="ER189" s="42"/>
      <c r="ES189" s="42"/>
      <c r="ET189" s="42"/>
      <c r="EU189" s="42"/>
      <c r="EV189" s="42"/>
      <c r="EW189" s="42"/>
      <c r="EX189" s="42"/>
      <c r="EY189" s="43"/>
      <c r="EZ189" s="43"/>
      <c r="FA189" s="43"/>
      <c r="FB189" s="42"/>
      <c r="FC189" s="42"/>
      <c r="FD189" s="41"/>
      <c r="FE189" s="41"/>
      <c r="FF189" s="42"/>
      <c r="FG189" s="42"/>
      <c r="FH189" s="42"/>
      <c r="FI189" s="42"/>
      <c r="FJ189" s="42"/>
      <c r="FN189" s="8"/>
      <c r="FO189" s="8"/>
      <c r="FP189" s="8"/>
      <c r="FQ189" s="8"/>
      <c r="FR189" s="8"/>
      <c r="FS189" s="8"/>
      <c r="FT189" s="8"/>
      <c r="FU189" s="8"/>
      <c r="GC189" s="68"/>
      <c r="GD189" s="78" t="str">
        <f t="shared" si="448"/>
        <v/>
      </c>
      <c r="GE189" s="309"/>
      <c r="GF189" s="309"/>
      <c r="GQ189" s="8"/>
      <c r="HD189" s="13"/>
      <c r="HE189" s="24"/>
      <c r="HF189" s="13"/>
      <c r="HG189" s="13"/>
      <c r="HH189" s="13"/>
      <c r="HI189" s="13"/>
      <c r="HJ189" s="13"/>
      <c r="HK189" s="13"/>
      <c r="HL189" s="13"/>
      <c r="HM189" s="14"/>
      <c r="HN189" s="13"/>
      <c r="HO189" s="13"/>
    </row>
    <row r="190" spans="3:223" x14ac:dyDescent="0.2">
      <c r="C190" s="426">
        <f t="shared" si="346"/>
        <v>44986</v>
      </c>
      <c r="D190" s="155">
        <f t="shared" si="347"/>
        <v>122</v>
      </c>
      <c r="E190" s="155">
        <f t="shared" si="399"/>
        <v>12624583.5</v>
      </c>
      <c r="F190" s="155"/>
      <c r="G190" s="438">
        <f t="shared" si="400"/>
        <v>160895.21688034188</v>
      </c>
      <c r="I190" s="444">
        <f>IF(D190="","",'Mx FORECAST'!DX128)</f>
        <v>7348136.6052350681</v>
      </c>
      <c r="J190" s="155">
        <f>IF(D190="","",'Mx FORECAST'!DP128)</f>
        <v>0</v>
      </c>
      <c r="K190" s="155">
        <f>IF(D190="","",'Mx FORECAST'!DQ128)</f>
        <v>0</v>
      </c>
      <c r="M190" s="155">
        <f>IF(D190="","",'Mx FORECAST'!DR128)</f>
        <v>0</v>
      </c>
      <c r="O190" s="155">
        <f>IF(D190="","",'Mx FORECAST'!DS128)</f>
        <v>0</v>
      </c>
      <c r="Q190" s="155">
        <f>IF(D190="","",'Mx FORECAST'!DT128)</f>
        <v>0</v>
      </c>
      <c r="S190" s="155">
        <f>IF(D190="","",'Mx FORECAST'!DU128)</f>
        <v>0</v>
      </c>
      <c r="U190" s="155">
        <f>IF(D190="","",'Mx FORECAST'!DV128)</f>
        <v>0</v>
      </c>
      <c r="W190" s="540">
        <f>IF(D190="","",'Mx FORECAST'!DY128)</f>
        <v>5276446.8947649319</v>
      </c>
      <c r="X190" s="540"/>
      <c r="Y190" s="437">
        <f>IF(D190="","",'Mx FORECAST'!DZ128)</f>
        <v>0.41795017592183786</v>
      </c>
      <c r="AD190" s="155"/>
      <c r="AF190" s="155"/>
      <c r="AH190" s="155"/>
      <c r="AJ190" s="155"/>
      <c r="AK190" s="8"/>
      <c r="AL190" s="8"/>
      <c r="AM190" s="8"/>
      <c r="AN190" s="8"/>
      <c r="AO190" s="8"/>
      <c r="AP190" s="8"/>
      <c r="AQ190" s="8"/>
      <c r="AR190" s="8"/>
      <c r="AS190" s="8"/>
      <c r="AT190" s="8"/>
      <c r="AU190" s="8"/>
      <c r="AV190" s="8"/>
      <c r="AW190" s="8"/>
      <c r="AX190" s="8"/>
      <c r="AY190" s="8"/>
      <c r="AZ190" s="8"/>
      <c r="BZ190" s="9"/>
      <c r="CA190" s="9"/>
      <c r="CB190" s="9"/>
      <c r="DM190" s="44"/>
      <c r="DN190" s="41"/>
      <c r="DO190" s="41"/>
      <c r="DP190" s="41"/>
      <c r="DQ190" s="42"/>
      <c r="DR190" s="42"/>
      <c r="DS190" s="42"/>
      <c r="DT190" s="42"/>
      <c r="DU190" s="42"/>
      <c r="DV190" s="42"/>
      <c r="DW190" s="42"/>
      <c r="DX190" s="42"/>
      <c r="DY190" s="42"/>
      <c r="DZ190" s="43"/>
      <c r="EA190" s="43"/>
      <c r="EB190" s="43"/>
      <c r="EC190" s="43"/>
      <c r="ED190" s="41"/>
      <c r="EE190" s="41"/>
      <c r="EF190" s="41"/>
      <c r="EG190" s="42"/>
      <c r="EH190" s="42"/>
      <c r="EI190" s="42"/>
      <c r="EJ190" s="42"/>
      <c r="EK190" s="42"/>
      <c r="EL190" s="42"/>
      <c r="EM190" s="42"/>
      <c r="EN190" s="42"/>
      <c r="EO190" s="42"/>
      <c r="EP190" s="43"/>
      <c r="EQ190" s="42"/>
      <c r="ER190" s="42"/>
      <c r="ES190" s="42"/>
      <c r="ET190" s="42"/>
      <c r="EU190" s="42"/>
      <c r="EV190" s="42"/>
      <c r="EW190" s="42"/>
      <c r="EX190" s="42"/>
      <c r="EY190" s="43"/>
      <c r="EZ190" s="43"/>
      <c r="FA190" s="43"/>
      <c r="FB190" s="42"/>
      <c r="FC190" s="42"/>
      <c r="FD190" s="41"/>
      <c r="FE190" s="41"/>
      <c r="FF190" s="42"/>
      <c r="FG190" s="42"/>
      <c r="FH190" s="42"/>
      <c r="FI190" s="42"/>
      <c r="FJ190" s="42"/>
      <c r="FN190" s="8"/>
      <c r="FO190" s="8"/>
      <c r="FP190" s="8"/>
      <c r="FQ190" s="8"/>
      <c r="FR190" s="8"/>
      <c r="FS190" s="8"/>
      <c r="FT190" s="8"/>
      <c r="FU190" s="8"/>
      <c r="GC190" s="68"/>
      <c r="GD190" s="78" t="str">
        <f t="shared" si="448"/>
        <v/>
      </c>
      <c r="GE190" s="309"/>
      <c r="GF190" s="309"/>
      <c r="GQ190" s="8"/>
      <c r="HD190" s="13"/>
      <c r="HE190" s="24"/>
      <c r="HF190" s="13"/>
      <c r="HG190" s="13"/>
      <c r="HH190" s="13"/>
      <c r="HI190" s="13"/>
      <c r="HJ190" s="13"/>
      <c r="HK190" s="13"/>
      <c r="HL190" s="13"/>
      <c r="HM190" s="14"/>
      <c r="HN190" s="13"/>
      <c r="HO190" s="13"/>
    </row>
    <row r="191" spans="3:223" x14ac:dyDescent="0.2">
      <c r="C191" s="426">
        <f t="shared" si="346"/>
        <v>45017</v>
      </c>
      <c r="D191" s="155">
        <f t="shared" si="347"/>
        <v>123</v>
      </c>
      <c r="E191" s="155">
        <f t="shared" si="399"/>
        <v>12624583.5</v>
      </c>
      <c r="F191" s="155"/>
      <c r="G191" s="438">
        <f t="shared" si="400"/>
        <v>160895.21688034188</v>
      </c>
      <c r="I191" s="444">
        <f>IF(D191="","",'Mx FORECAST'!DX129)</f>
        <v>7260931.8221154101</v>
      </c>
      <c r="J191" s="155">
        <f>IF(D191="","",'Mx FORECAST'!DP129)</f>
        <v>0</v>
      </c>
      <c r="K191" s="155">
        <f>IF(D191="","",'Mx FORECAST'!DQ129)</f>
        <v>0</v>
      </c>
      <c r="M191" s="155">
        <f>IF(D191="","",'Mx FORECAST'!DR129)</f>
        <v>0</v>
      </c>
      <c r="O191" s="155">
        <f>IF(D191="","",'Mx FORECAST'!DS129)</f>
        <v>0</v>
      </c>
      <c r="Q191" s="155">
        <f>IF(D191="","",'Mx FORECAST'!DT129)</f>
        <v>248100</v>
      </c>
      <c r="S191" s="155">
        <f>IF(D191="","",'Mx FORECAST'!DU129)</f>
        <v>0</v>
      </c>
      <c r="U191" s="155">
        <f>IF(D191="","",'Mx FORECAST'!DV129)</f>
        <v>0</v>
      </c>
      <c r="W191" s="540">
        <f>IF(D191="","",'Mx FORECAST'!DY129)</f>
        <v>5363651.6778845899</v>
      </c>
      <c r="X191" s="540"/>
      <c r="Y191" s="437">
        <f>IF(D191="","",'Mx FORECAST'!DZ129)</f>
        <v>0.42485771335621408</v>
      </c>
      <c r="AD191" s="155"/>
      <c r="AF191" s="155"/>
      <c r="AH191" s="155"/>
      <c r="AJ191" s="155"/>
      <c r="AK191" s="8"/>
      <c r="AL191" s="8"/>
      <c r="AM191" s="8"/>
      <c r="AN191" s="8"/>
      <c r="AO191" s="8"/>
      <c r="AP191" s="8"/>
      <c r="AQ191" s="8"/>
      <c r="AR191" s="8"/>
      <c r="AS191" s="8"/>
      <c r="AT191" s="8"/>
      <c r="AU191" s="8"/>
      <c r="AV191" s="8"/>
      <c r="AW191" s="8"/>
      <c r="AX191" s="8"/>
      <c r="AY191" s="8"/>
      <c r="AZ191" s="8"/>
      <c r="BZ191" s="9"/>
      <c r="CA191" s="9"/>
      <c r="CB191" s="9"/>
      <c r="DM191" s="44"/>
      <c r="DN191" s="41"/>
      <c r="DO191" s="41"/>
      <c r="DP191" s="41"/>
      <c r="DQ191" s="42"/>
      <c r="DR191" s="42"/>
      <c r="DS191" s="42"/>
      <c r="DT191" s="42"/>
      <c r="DU191" s="42"/>
      <c r="DV191" s="42"/>
      <c r="DW191" s="42"/>
      <c r="DX191" s="42"/>
      <c r="DY191" s="42"/>
      <c r="DZ191" s="43"/>
      <c r="EA191" s="43"/>
      <c r="EB191" s="43"/>
      <c r="EC191" s="43"/>
      <c r="ED191" s="41"/>
      <c r="EE191" s="41"/>
      <c r="EF191" s="41"/>
      <c r="EG191" s="42"/>
      <c r="EH191" s="42"/>
      <c r="EI191" s="42"/>
      <c r="EJ191" s="42"/>
      <c r="EK191" s="42"/>
      <c r="EL191" s="42"/>
      <c r="EM191" s="42"/>
      <c r="EN191" s="42"/>
      <c r="EO191" s="42"/>
      <c r="EP191" s="43"/>
      <c r="EQ191" s="42"/>
      <c r="ER191" s="42"/>
      <c r="ES191" s="42"/>
      <c r="ET191" s="42"/>
      <c r="EU191" s="42"/>
      <c r="EV191" s="42"/>
      <c r="EW191" s="42"/>
      <c r="EX191" s="42"/>
      <c r="EY191" s="43"/>
      <c r="EZ191" s="43"/>
      <c r="FA191" s="43"/>
      <c r="FB191" s="42"/>
      <c r="FC191" s="42"/>
      <c r="FD191" s="41"/>
      <c r="FE191" s="41"/>
      <c r="FF191" s="42"/>
      <c r="FG191" s="42"/>
      <c r="FH191" s="42"/>
      <c r="FI191" s="42"/>
      <c r="FJ191" s="42"/>
      <c r="FN191" s="8"/>
      <c r="FO191" s="8"/>
      <c r="FP191" s="8"/>
      <c r="FQ191" s="8"/>
      <c r="FR191" s="8"/>
      <c r="FS191" s="8"/>
      <c r="FT191" s="8"/>
      <c r="FU191" s="8"/>
      <c r="GC191" s="68"/>
      <c r="GD191" s="78" t="str">
        <f t="shared" si="448"/>
        <v/>
      </c>
      <c r="GE191" s="309"/>
      <c r="GF191" s="309"/>
      <c r="GQ191" s="8"/>
      <c r="HD191" s="13"/>
      <c r="HE191" s="24"/>
      <c r="HF191" s="13"/>
      <c r="HG191" s="13"/>
      <c r="HH191" s="13"/>
      <c r="HI191" s="13"/>
      <c r="HJ191" s="13"/>
      <c r="HK191" s="13"/>
      <c r="HL191" s="13"/>
      <c r="HM191" s="14"/>
      <c r="HN191" s="13"/>
      <c r="HO191" s="13"/>
    </row>
    <row r="192" spans="3:223" x14ac:dyDescent="0.2">
      <c r="C192" s="426">
        <f t="shared" si="346"/>
        <v>45047</v>
      </c>
      <c r="D192" s="155">
        <f t="shared" si="347"/>
        <v>124</v>
      </c>
      <c r="E192" s="155">
        <f t="shared" si="399"/>
        <v>12624583.5</v>
      </c>
      <c r="F192" s="155"/>
      <c r="G192" s="438">
        <f t="shared" si="400"/>
        <v>160895.21688034188</v>
      </c>
      <c r="I192" s="444">
        <f>IF(D192="","",'Mx FORECAST'!DX130)</f>
        <v>7421827.0389957502</v>
      </c>
      <c r="J192" s="155">
        <f>IF(D192="","",'Mx FORECAST'!DP130)</f>
        <v>0</v>
      </c>
      <c r="K192" s="155">
        <f>IF(D192="","",'Mx FORECAST'!DQ130)</f>
        <v>0</v>
      </c>
      <c r="M192" s="155">
        <f>IF(D192="","",'Mx FORECAST'!DR130)</f>
        <v>0</v>
      </c>
      <c r="O192" s="155">
        <f>IF(D192="","",'Mx FORECAST'!DS130)</f>
        <v>0</v>
      </c>
      <c r="Q192" s="155">
        <f>IF(D192="","",'Mx FORECAST'!DT130)</f>
        <v>0</v>
      </c>
      <c r="S192" s="155">
        <f>IF(D192="","",'Mx FORECAST'!DU130)</f>
        <v>0</v>
      </c>
      <c r="U192" s="155">
        <f>IF(D192="","",'Mx FORECAST'!DV130)</f>
        <v>0</v>
      </c>
      <c r="W192" s="540">
        <f>IF(D192="","",'Mx FORECAST'!DY130)</f>
        <v>5202756.4610042498</v>
      </c>
      <c r="X192" s="540"/>
      <c r="Y192" s="437">
        <f>IF(D192="","",'Mx FORECAST'!DZ130)</f>
        <v>0.4121131173162465</v>
      </c>
      <c r="AD192" s="155"/>
      <c r="AF192" s="155"/>
      <c r="AH192" s="155"/>
      <c r="AJ192" s="155"/>
      <c r="AK192" s="8"/>
      <c r="AL192" s="8"/>
      <c r="AM192" s="8"/>
      <c r="AN192" s="8"/>
      <c r="AO192" s="8"/>
      <c r="AP192" s="8"/>
      <c r="AQ192" s="8"/>
      <c r="AR192" s="8"/>
      <c r="AS192" s="8"/>
      <c r="AT192" s="8"/>
      <c r="AU192" s="8"/>
      <c r="AV192" s="8"/>
      <c r="AW192" s="8"/>
      <c r="AX192" s="8"/>
      <c r="AY192" s="8"/>
      <c r="AZ192" s="8"/>
      <c r="BZ192" s="9"/>
      <c r="CA192" s="9"/>
      <c r="CB192" s="9"/>
      <c r="DM192" s="44"/>
      <c r="DN192" s="41"/>
      <c r="DO192" s="41"/>
      <c r="DP192" s="41"/>
      <c r="DQ192" s="42"/>
      <c r="DR192" s="42"/>
      <c r="DS192" s="42"/>
      <c r="DT192" s="42"/>
      <c r="DU192" s="42"/>
      <c r="DV192" s="42"/>
      <c r="DW192" s="42"/>
      <c r="DX192" s="42"/>
      <c r="DY192" s="42"/>
      <c r="DZ192" s="43"/>
      <c r="EA192" s="43"/>
      <c r="EB192" s="43"/>
      <c r="EC192" s="43"/>
      <c r="ED192" s="41"/>
      <c r="EE192" s="41"/>
      <c r="EF192" s="41"/>
      <c r="EG192" s="42"/>
      <c r="EH192" s="42"/>
      <c r="EI192" s="42"/>
      <c r="EJ192" s="42"/>
      <c r="EK192" s="42"/>
      <c r="EL192" s="42"/>
      <c r="EM192" s="42"/>
      <c r="EN192" s="42"/>
      <c r="EO192" s="42"/>
      <c r="EP192" s="43"/>
      <c r="EQ192" s="42"/>
      <c r="ER192" s="42"/>
      <c r="ES192" s="42"/>
      <c r="ET192" s="42"/>
      <c r="EU192" s="42"/>
      <c r="EV192" s="42"/>
      <c r="EW192" s="42"/>
      <c r="EX192" s="42"/>
      <c r="EY192" s="43"/>
      <c r="EZ192" s="43"/>
      <c r="FA192" s="43"/>
      <c r="FB192" s="42"/>
      <c r="FC192" s="42"/>
      <c r="FD192" s="41"/>
      <c r="FE192" s="41"/>
      <c r="FF192" s="42"/>
      <c r="FG192" s="42"/>
      <c r="FH192" s="42"/>
      <c r="FI192" s="42"/>
      <c r="FJ192" s="42"/>
      <c r="FN192" s="8"/>
      <c r="FO192" s="8"/>
      <c r="FP192" s="8"/>
      <c r="FQ192" s="8"/>
      <c r="FR192" s="8"/>
      <c r="FS192" s="8"/>
      <c r="FT192" s="8"/>
      <c r="FU192" s="8"/>
      <c r="GC192" s="68"/>
      <c r="GD192" s="78" t="str">
        <f t="shared" si="448"/>
        <v/>
      </c>
      <c r="GE192" s="309"/>
      <c r="GF192" s="309"/>
      <c r="GQ192" s="8"/>
      <c r="HD192" s="13"/>
      <c r="HE192" s="24"/>
      <c r="HF192" s="13"/>
      <c r="HG192" s="13"/>
      <c r="HH192" s="13"/>
      <c r="HI192" s="13"/>
      <c r="HJ192" s="13"/>
      <c r="HK192" s="13"/>
      <c r="HL192" s="13"/>
      <c r="HM192" s="14"/>
      <c r="HN192" s="13"/>
      <c r="HO192" s="13"/>
    </row>
    <row r="193" spans="3:223" x14ac:dyDescent="0.2">
      <c r="C193" s="426">
        <f t="shared" si="346"/>
        <v>45078</v>
      </c>
      <c r="D193" s="155">
        <f t="shared" si="347"/>
        <v>125</v>
      </c>
      <c r="E193" s="155">
        <f t="shared" si="399"/>
        <v>12624583.5</v>
      </c>
      <c r="F193" s="155"/>
      <c r="G193" s="438">
        <f t="shared" si="400"/>
        <v>160895.21688034188</v>
      </c>
      <c r="I193" s="444">
        <f>IF(D193="","",'Mx FORECAST'!DX131)</f>
        <v>7582722.2558760904</v>
      </c>
      <c r="J193" s="155">
        <f>IF(D193="","",'Mx FORECAST'!DP131)</f>
        <v>0</v>
      </c>
      <c r="K193" s="155">
        <f>IF(D193="","",'Mx FORECAST'!DQ131)</f>
        <v>0</v>
      </c>
      <c r="M193" s="155">
        <f>IF(D193="","",'Mx FORECAST'!DR131)</f>
        <v>0</v>
      </c>
      <c r="O193" s="155">
        <f>IF(D193="","",'Mx FORECAST'!DS131)</f>
        <v>0</v>
      </c>
      <c r="Q193" s="155">
        <f>IF(D193="","",'Mx FORECAST'!DT131)</f>
        <v>0</v>
      </c>
      <c r="S193" s="155">
        <f>IF(D193="","",'Mx FORECAST'!DU131)</f>
        <v>0</v>
      </c>
      <c r="U193" s="155">
        <f>IF(D193="","",'Mx FORECAST'!DV131)</f>
        <v>0</v>
      </c>
      <c r="W193" s="540">
        <f>IF(D193="","",'Mx FORECAST'!DY131)</f>
        <v>5041861.2441239096</v>
      </c>
      <c r="X193" s="540"/>
      <c r="Y193" s="437">
        <f>IF(D193="","",'Mx FORECAST'!DZ131)</f>
        <v>0.39936852127627892</v>
      </c>
      <c r="AD193" s="155"/>
      <c r="AF193" s="155"/>
      <c r="AH193" s="155"/>
      <c r="AJ193" s="155"/>
      <c r="AK193" s="8"/>
      <c r="AL193" s="8"/>
      <c r="AM193" s="8"/>
      <c r="AN193" s="8"/>
      <c r="AO193" s="8"/>
      <c r="AP193" s="8"/>
      <c r="AQ193" s="8"/>
      <c r="AR193" s="8"/>
      <c r="AS193" s="8"/>
      <c r="AT193" s="8"/>
      <c r="AU193" s="8"/>
      <c r="AV193" s="8"/>
      <c r="AW193" s="8"/>
      <c r="AX193" s="8"/>
      <c r="AY193" s="8"/>
      <c r="AZ193" s="8"/>
      <c r="BZ193" s="9"/>
      <c r="CA193" s="9"/>
      <c r="CB193" s="9"/>
      <c r="DM193" s="44"/>
      <c r="DN193" s="41"/>
      <c r="DO193" s="41"/>
      <c r="DP193" s="41"/>
      <c r="DQ193" s="42"/>
      <c r="DR193" s="42"/>
      <c r="DS193" s="42"/>
      <c r="DT193" s="42"/>
      <c r="DU193" s="42"/>
      <c r="DV193" s="42"/>
      <c r="DW193" s="42"/>
      <c r="DX193" s="42"/>
      <c r="DY193" s="42"/>
      <c r="DZ193" s="43"/>
      <c r="EA193" s="43"/>
      <c r="EB193" s="43"/>
      <c r="EC193" s="43"/>
      <c r="ED193" s="41"/>
      <c r="EE193" s="41"/>
      <c r="EF193" s="41"/>
      <c r="EG193" s="42"/>
      <c r="EH193" s="42"/>
      <c r="EI193" s="42"/>
      <c r="EJ193" s="42"/>
      <c r="EK193" s="42"/>
      <c r="EL193" s="42"/>
      <c r="EM193" s="42"/>
      <c r="EN193" s="42"/>
      <c r="EO193" s="42"/>
      <c r="EP193" s="43"/>
      <c r="EQ193" s="42"/>
      <c r="ER193" s="42"/>
      <c r="ES193" s="42"/>
      <c r="ET193" s="42"/>
      <c r="EU193" s="42"/>
      <c r="EV193" s="42"/>
      <c r="EW193" s="42"/>
      <c r="EX193" s="42"/>
      <c r="EY193" s="43"/>
      <c r="EZ193" s="43"/>
      <c r="FA193" s="43"/>
      <c r="FB193" s="42"/>
      <c r="FC193" s="42"/>
      <c r="FD193" s="41"/>
      <c r="FE193" s="41"/>
      <c r="FF193" s="42"/>
      <c r="FG193" s="42"/>
      <c r="FH193" s="42"/>
      <c r="FI193" s="42"/>
      <c r="FJ193" s="42"/>
      <c r="FN193" s="8"/>
      <c r="FO193" s="8"/>
      <c r="FP193" s="8"/>
      <c r="FQ193" s="8"/>
      <c r="FR193" s="8"/>
      <c r="FS193" s="8"/>
      <c r="FT193" s="8"/>
      <c r="FU193" s="8"/>
      <c r="GC193" s="68"/>
      <c r="GD193" s="78" t="str">
        <f t="shared" si="448"/>
        <v/>
      </c>
      <c r="GE193" s="309"/>
      <c r="GF193" s="309"/>
      <c r="GQ193" s="8"/>
      <c r="HD193" s="13"/>
      <c r="HE193" s="24"/>
      <c r="HF193" s="13"/>
      <c r="HG193" s="13"/>
      <c r="HH193" s="13"/>
      <c r="HI193" s="13"/>
      <c r="HJ193" s="13"/>
      <c r="HK193" s="13"/>
      <c r="HL193" s="13"/>
      <c r="HM193" s="14"/>
      <c r="HN193" s="13"/>
      <c r="HO193" s="13"/>
    </row>
    <row r="194" spans="3:223" x14ac:dyDescent="0.2">
      <c r="C194" s="426">
        <f t="shared" si="346"/>
        <v>45108</v>
      </c>
      <c r="D194" s="155">
        <f t="shared" si="347"/>
        <v>126</v>
      </c>
      <c r="E194" s="155">
        <f t="shared" si="399"/>
        <v>12624583.5</v>
      </c>
      <c r="F194" s="155"/>
      <c r="G194" s="438">
        <f t="shared" si="400"/>
        <v>160895.21688034188</v>
      </c>
      <c r="I194" s="444">
        <f>IF(D194="","",'Mx FORECAST'!DX132)</f>
        <v>7521137.4727564305</v>
      </c>
      <c r="J194" s="155">
        <f>IF(D194="","",'Mx FORECAST'!DP132)</f>
        <v>222480</v>
      </c>
      <c r="K194" s="155">
        <f>IF(D194="","",'Mx FORECAST'!DQ132)</f>
        <v>0</v>
      </c>
      <c r="M194" s="155">
        <f>IF(D194="","",'Mx FORECAST'!DR132)</f>
        <v>0</v>
      </c>
      <c r="O194" s="155">
        <f>IF(D194="","",'Mx FORECAST'!DS132)</f>
        <v>0</v>
      </c>
      <c r="Q194" s="155">
        <f>IF(D194="","",'Mx FORECAST'!DT132)</f>
        <v>0</v>
      </c>
      <c r="S194" s="155">
        <f>IF(D194="","",'Mx FORECAST'!DU132)</f>
        <v>0</v>
      </c>
      <c r="U194" s="155">
        <f>IF(D194="","",'Mx FORECAST'!DV132)</f>
        <v>0</v>
      </c>
      <c r="W194" s="540">
        <f>IF(D194="","",'Mx FORECAST'!DY132)</f>
        <v>5103446.0272435695</v>
      </c>
      <c r="X194" s="540"/>
      <c r="Y194" s="437">
        <f>IF(D194="","",'Mx FORECAST'!DZ132)</f>
        <v>0.40424668483071696</v>
      </c>
      <c r="AD194" s="155"/>
      <c r="AF194" s="155"/>
      <c r="AH194" s="155"/>
      <c r="AJ194" s="155"/>
      <c r="AK194" s="8"/>
      <c r="AL194" s="8"/>
      <c r="AM194" s="8"/>
      <c r="AN194" s="8"/>
      <c r="AO194" s="8"/>
      <c r="AP194" s="8"/>
      <c r="AQ194" s="8"/>
      <c r="AR194" s="8"/>
      <c r="AS194" s="8"/>
      <c r="AT194" s="8"/>
      <c r="AU194" s="8"/>
      <c r="AV194" s="8"/>
      <c r="AW194" s="8"/>
      <c r="AX194" s="8"/>
      <c r="AY194" s="8"/>
      <c r="AZ194" s="8"/>
      <c r="BZ194" s="9"/>
      <c r="CA194" s="9"/>
      <c r="CB194" s="9"/>
      <c r="DM194" s="44"/>
      <c r="DN194" s="41"/>
      <c r="DO194" s="41"/>
      <c r="DP194" s="41"/>
      <c r="DQ194" s="42"/>
      <c r="DR194" s="42"/>
      <c r="DS194" s="42"/>
      <c r="DT194" s="42"/>
      <c r="DU194" s="42"/>
      <c r="DV194" s="42"/>
      <c r="DW194" s="42"/>
      <c r="DX194" s="42"/>
      <c r="DY194" s="42"/>
      <c r="DZ194" s="43"/>
      <c r="EA194" s="43"/>
      <c r="EB194" s="43"/>
      <c r="EC194" s="43"/>
      <c r="ED194" s="41"/>
      <c r="EE194" s="41"/>
      <c r="EF194" s="41"/>
      <c r="EG194" s="42"/>
      <c r="EH194" s="42"/>
      <c r="EI194" s="42"/>
      <c r="EJ194" s="42"/>
      <c r="EK194" s="42"/>
      <c r="EL194" s="42"/>
      <c r="EM194" s="42"/>
      <c r="EN194" s="42"/>
      <c r="EO194" s="42"/>
      <c r="EP194" s="43"/>
      <c r="EQ194" s="42"/>
      <c r="ER194" s="42"/>
      <c r="ES194" s="42"/>
      <c r="ET194" s="42"/>
      <c r="EU194" s="42"/>
      <c r="EV194" s="42"/>
      <c r="EW194" s="42"/>
      <c r="EX194" s="42"/>
      <c r="EY194" s="43"/>
      <c r="EZ194" s="43"/>
      <c r="FA194" s="43"/>
      <c r="FB194" s="42"/>
      <c r="FC194" s="42"/>
      <c r="FD194" s="41"/>
      <c r="FE194" s="41"/>
      <c r="FF194" s="42"/>
      <c r="FG194" s="42"/>
      <c r="FH194" s="42"/>
      <c r="FI194" s="42"/>
      <c r="FJ194" s="42"/>
      <c r="FN194" s="8"/>
      <c r="FO194" s="8"/>
      <c r="FP194" s="8"/>
      <c r="FQ194" s="8"/>
      <c r="FR194" s="8"/>
      <c r="FS194" s="8"/>
      <c r="FT194" s="8"/>
      <c r="FU194" s="8"/>
      <c r="GC194" s="68"/>
      <c r="GD194" s="78" t="str">
        <f t="shared" si="448"/>
        <v/>
      </c>
      <c r="GE194" s="309"/>
      <c r="GF194" s="309"/>
      <c r="GQ194" s="8"/>
      <c r="HD194" s="13"/>
      <c r="HE194" s="24"/>
      <c r="HF194" s="13"/>
      <c r="HG194" s="13"/>
      <c r="HH194" s="13"/>
      <c r="HI194" s="13"/>
      <c r="HJ194" s="13"/>
      <c r="HK194" s="13"/>
      <c r="HL194" s="13"/>
      <c r="HM194" s="14"/>
      <c r="HN194" s="13"/>
      <c r="HO194" s="13"/>
    </row>
    <row r="195" spans="3:223" x14ac:dyDescent="0.2">
      <c r="C195" s="426">
        <f t="shared" si="346"/>
        <v>45139</v>
      </c>
      <c r="D195" s="155">
        <f t="shared" si="347"/>
        <v>127</v>
      </c>
      <c r="E195" s="155">
        <f t="shared" si="399"/>
        <v>12666583.5</v>
      </c>
      <c r="F195" s="155"/>
      <c r="G195" s="438">
        <f t="shared" si="400"/>
        <v>163228.55021367522</v>
      </c>
      <c r="I195" s="444">
        <f>IF(D195="","",'Mx FORECAST'!DX133)</f>
        <v>7684366.0229701065</v>
      </c>
      <c r="J195" s="155">
        <f>IF(D195="","",'Mx FORECAST'!DP133)</f>
        <v>0</v>
      </c>
      <c r="K195" s="155">
        <f>IF(D195="","",'Mx FORECAST'!DQ133)</f>
        <v>0</v>
      </c>
      <c r="M195" s="155">
        <f>IF(D195="","",'Mx FORECAST'!DR133)</f>
        <v>0</v>
      </c>
      <c r="O195" s="155">
        <f>IF(D195="","",'Mx FORECAST'!DS133)</f>
        <v>0</v>
      </c>
      <c r="Q195" s="155">
        <f>IF(D195="","",'Mx FORECAST'!DT133)</f>
        <v>0</v>
      </c>
      <c r="S195" s="155">
        <f>IF(D195="","",'Mx FORECAST'!DU133)</f>
        <v>0</v>
      </c>
      <c r="U195" s="155">
        <f>IF(D195="","",'Mx FORECAST'!DV133)</f>
        <v>0</v>
      </c>
      <c r="W195" s="540">
        <f>IF(D195="","",'Mx FORECAST'!DY133)</f>
        <v>4982217.4770298935</v>
      </c>
      <c r="X195" s="540"/>
      <c r="Y195" s="437">
        <f>IF(D195="","",'Mx FORECAST'!DZ133)</f>
        <v>0.39333554127124282</v>
      </c>
      <c r="AD195" s="155"/>
      <c r="AF195" s="155"/>
      <c r="AH195" s="155"/>
      <c r="AJ195" s="155"/>
      <c r="AK195" s="8"/>
      <c r="AL195" s="8"/>
      <c r="AM195" s="8"/>
      <c r="AN195" s="8"/>
      <c r="AO195" s="8"/>
      <c r="AP195" s="8"/>
      <c r="AQ195" s="8"/>
      <c r="AR195" s="8"/>
      <c r="AS195" s="8"/>
      <c r="AT195" s="8"/>
      <c r="AU195" s="8"/>
      <c r="AV195" s="8"/>
      <c r="AW195" s="8"/>
      <c r="AX195" s="8"/>
      <c r="AY195" s="8"/>
      <c r="AZ195" s="8"/>
      <c r="BZ195" s="9"/>
      <c r="CA195" s="9"/>
      <c r="CB195" s="9"/>
      <c r="DM195" s="44"/>
      <c r="DN195" s="41"/>
      <c r="DO195" s="41"/>
      <c r="DP195" s="41"/>
      <c r="DQ195" s="42"/>
      <c r="DR195" s="42"/>
      <c r="DS195" s="42"/>
      <c r="DT195" s="42"/>
      <c r="DU195" s="42"/>
      <c r="DV195" s="42"/>
      <c r="DW195" s="42"/>
      <c r="DX195" s="42"/>
      <c r="DY195" s="42"/>
      <c r="DZ195" s="43"/>
      <c r="EA195" s="43"/>
      <c r="EB195" s="43"/>
      <c r="EC195" s="43"/>
      <c r="ED195" s="41"/>
      <c r="EE195" s="41"/>
      <c r="EF195" s="41"/>
      <c r="EG195" s="42"/>
      <c r="EH195" s="42"/>
      <c r="EI195" s="42"/>
      <c r="EJ195" s="42"/>
      <c r="EK195" s="42"/>
      <c r="EL195" s="42"/>
      <c r="EM195" s="42"/>
      <c r="EN195" s="42"/>
      <c r="EO195" s="42"/>
      <c r="EP195" s="43"/>
      <c r="EQ195" s="42"/>
      <c r="ER195" s="42"/>
      <c r="ES195" s="42"/>
      <c r="ET195" s="42"/>
      <c r="EU195" s="42"/>
      <c r="EV195" s="42"/>
      <c r="EW195" s="42"/>
      <c r="EX195" s="42"/>
      <c r="EY195" s="43"/>
      <c r="EZ195" s="43"/>
      <c r="FA195" s="43"/>
      <c r="FB195" s="42"/>
      <c r="FC195" s="42"/>
      <c r="FD195" s="41"/>
      <c r="FE195" s="41"/>
      <c r="FF195" s="42"/>
      <c r="FG195" s="42"/>
      <c r="FH195" s="42"/>
      <c r="FI195" s="42"/>
      <c r="FJ195" s="42"/>
      <c r="FN195" s="8"/>
      <c r="FO195" s="8"/>
      <c r="FP195" s="8"/>
      <c r="FQ195" s="8"/>
      <c r="FR195" s="8"/>
      <c r="FS195" s="8"/>
      <c r="FT195" s="8"/>
      <c r="FU195" s="8"/>
      <c r="GC195" s="68"/>
      <c r="GD195" s="78" t="str">
        <f t="shared" si="448"/>
        <v/>
      </c>
      <c r="GE195" s="309"/>
      <c r="GF195" s="309"/>
      <c r="GQ195" s="8"/>
      <c r="HM195" s="8"/>
      <c r="HN195" s="13"/>
      <c r="HO195" s="13"/>
    </row>
    <row r="196" spans="3:223" x14ac:dyDescent="0.2">
      <c r="C196" s="426">
        <f t="shared" si="346"/>
        <v>45170</v>
      </c>
      <c r="D196" s="155">
        <f t="shared" si="347"/>
        <v>128</v>
      </c>
      <c r="E196" s="155">
        <f t="shared" ref="E196:E227" si="449">IF(D196="","",DN134)</f>
        <v>12666583.5</v>
      </c>
      <c r="F196" s="155"/>
      <c r="G196" s="438">
        <f t="shared" si="400"/>
        <v>163228.55021367522</v>
      </c>
      <c r="I196" s="444">
        <f>IF(D196="","",'Mx FORECAST'!DX134)</f>
        <v>7847594.5731837824</v>
      </c>
      <c r="J196" s="155">
        <f>IF(D196="","",'Mx FORECAST'!DP134)</f>
        <v>0</v>
      </c>
      <c r="K196" s="155">
        <f>IF(D196="","",'Mx FORECAST'!DQ134)</f>
        <v>0</v>
      </c>
      <c r="M196" s="155">
        <f>IF(D196="","",'Mx FORECAST'!DR134)</f>
        <v>0</v>
      </c>
      <c r="O196" s="155">
        <f>IF(D196="","",'Mx FORECAST'!DS134)</f>
        <v>0</v>
      </c>
      <c r="Q196" s="155">
        <f>IF(D196="","",'Mx FORECAST'!DT134)</f>
        <v>0</v>
      </c>
      <c r="S196" s="155">
        <f>IF(D196="","",'Mx FORECAST'!DU134)</f>
        <v>0</v>
      </c>
      <c r="U196" s="155">
        <f>IF(D196="","",'Mx FORECAST'!DV134)</f>
        <v>0</v>
      </c>
      <c r="W196" s="540">
        <f>IF(D196="","",'Mx FORECAST'!DY134)</f>
        <v>4818988.9268162176</v>
      </c>
      <c r="X196" s="540"/>
      <c r="Y196" s="437">
        <f>IF(D196="","",'Mx FORECAST'!DZ134)</f>
        <v>0.38044899217032102</v>
      </c>
      <c r="AD196" s="155"/>
      <c r="AF196" s="155"/>
      <c r="AH196" s="155"/>
      <c r="AJ196" s="155"/>
      <c r="AK196" s="8"/>
      <c r="AL196" s="8"/>
      <c r="AM196" s="8"/>
      <c r="AN196" s="8"/>
      <c r="AO196" s="8"/>
      <c r="AP196" s="8"/>
      <c r="AQ196" s="8"/>
      <c r="AR196" s="8"/>
      <c r="AS196" s="8"/>
      <c r="AT196" s="8"/>
      <c r="AU196" s="8"/>
      <c r="AV196" s="8"/>
      <c r="AW196" s="8"/>
      <c r="AX196" s="8"/>
      <c r="AY196" s="8"/>
      <c r="AZ196" s="8"/>
      <c r="BZ196" s="9"/>
      <c r="CA196" s="9"/>
      <c r="CB196" s="9"/>
      <c r="DM196" s="44"/>
      <c r="DN196" s="41"/>
      <c r="DO196" s="41"/>
      <c r="DP196" s="41"/>
      <c r="DQ196" s="42"/>
      <c r="DR196" s="42"/>
      <c r="DS196" s="42"/>
      <c r="DT196" s="42"/>
      <c r="DU196" s="42"/>
      <c r="DV196" s="42"/>
      <c r="DW196" s="42"/>
      <c r="DX196" s="42"/>
      <c r="DY196" s="42"/>
      <c r="DZ196" s="43"/>
      <c r="EA196" s="43"/>
      <c r="EB196" s="43"/>
      <c r="EC196" s="43"/>
      <c r="ED196" s="41"/>
      <c r="EE196" s="41"/>
      <c r="EF196" s="41"/>
      <c r="EG196" s="42"/>
      <c r="EH196" s="42"/>
      <c r="EI196" s="42"/>
      <c r="EJ196" s="42"/>
      <c r="EK196" s="42"/>
      <c r="EL196" s="42"/>
      <c r="EM196" s="42"/>
      <c r="EN196" s="42"/>
      <c r="EO196" s="42"/>
      <c r="EP196" s="43"/>
      <c r="EQ196" s="42"/>
      <c r="ER196" s="42"/>
      <c r="ES196" s="42"/>
      <c r="ET196" s="42"/>
      <c r="EU196" s="42"/>
      <c r="EV196" s="42"/>
      <c r="EW196" s="42"/>
      <c r="EX196" s="42"/>
      <c r="EY196" s="43"/>
      <c r="EZ196" s="43"/>
      <c r="FA196" s="43"/>
      <c r="FB196" s="42"/>
      <c r="FC196" s="42"/>
      <c r="FD196" s="41"/>
      <c r="FE196" s="41"/>
      <c r="FF196" s="42"/>
      <c r="FG196" s="42"/>
      <c r="FH196" s="42"/>
      <c r="FI196" s="42"/>
      <c r="FJ196" s="42"/>
      <c r="FN196" s="8"/>
      <c r="FO196" s="8"/>
      <c r="FP196" s="8"/>
      <c r="FQ196" s="8"/>
      <c r="FR196" s="8"/>
      <c r="FS196" s="8"/>
      <c r="FT196" s="8"/>
      <c r="FU196" s="8"/>
      <c r="GC196" s="68"/>
      <c r="GD196" s="78" t="str">
        <f t="shared" si="448"/>
        <v/>
      </c>
      <c r="GE196" s="309"/>
      <c r="GF196" s="309"/>
      <c r="GQ196" s="8"/>
      <c r="HM196" s="8"/>
      <c r="HN196" s="13"/>
      <c r="HO196" s="13"/>
    </row>
    <row r="197" spans="3:223" x14ac:dyDescent="0.2">
      <c r="C197" s="426">
        <f t="shared" ref="C197:C248" si="450">IF(OR(C196="",D197=""),"",EDATE(C196,1))</f>
        <v>45200</v>
      </c>
      <c r="D197" s="155">
        <f t="shared" ref="D197:D248" si="451">IF(DM135="","",DM135)</f>
        <v>129</v>
      </c>
      <c r="E197" s="155">
        <f t="shared" si="449"/>
        <v>12666583.5</v>
      </c>
      <c r="F197" s="155"/>
      <c r="G197" s="438">
        <f t="shared" ref="G197:G228" si="452">IF(D197="","",DO135)</f>
        <v>163228.55021367522</v>
      </c>
      <c r="I197" s="444">
        <f>IF(D197="","",'Mx FORECAST'!DX135)</f>
        <v>8010823.1233974583</v>
      </c>
      <c r="J197" s="155">
        <f>IF(D197="","",'Mx FORECAST'!DP135)</f>
        <v>0</v>
      </c>
      <c r="K197" s="155">
        <f>IF(D197="","",'Mx FORECAST'!DQ135)</f>
        <v>0</v>
      </c>
      <c r="M197" s="155">
        <f>IF(D197="","",'Mx FORECAST'!DR135)</f>
        <v>0</v>
      </c>
      <c r="O197" s="155">
        <f>IF(D197="","",'Mx FORECAST'!DS135)</f>
        <v>0</v>
      </c>
      <c r="Q197" s="155">
        <f>IF(D197="","",'Mx FORECAST'!DT135)</f>
        <v>0</v>
      </c>
      <c r="S197" s="155">
        <f>IF(D197="","",'Mx FORECAST'!DU135)</f>
        <v>0</v>
      </c>
      <c r="U197" s="155">
        <f>IF(D197="","",'Mx FORECAST'!DV135)</f>
        <v>0</v>
      </c>
      <c r="W197" s="540">
        <f>IF(D197="","",'Mx FORECAST'!DY135)</f>
        <v>4655760.3766025417</v>
      </c>
      <c r="X197" s="540"/>
      <c r="Y197" s="437">
        <f>IF(D197="","",'Mx FORECAST'!DZ135)</f>
        <v>0.36756244306939923</v>
      </c>
      <c r="AD197" s="155"/>
      <c r="AF197" s="155"/>
      <c r="AH197" s="155"/>
      <c r="AJ197" s="155"/>
      <c r="AK197" s="8"/>
      <c r="AL197" s="8"/>
      <c r="AM197" s="8"/>
      <c r="AN197" s="8"/>
      <c r="AO197" s="8"/>
      <c r="AP197" s="8"/>
      <c r="AQ197" s="8"/>
      <c r="AR197" s="8"/>
      <c r="AS197" s="8"/>
      <c r="AT197" s="8"/>
      <c r="AU197" s="8"/>
      <c r="AV197" s="8"/>
      <c r="AW197" s="8"/>
      <c r="AX197" s="8"/>
      <c r="AY197" s="8"/>
      <c r="AZ197" s="8"/>
      <c r="BZ197" s="9"/>
      <c r="CA197" s="9"/>
      <c r="CB197" s="9"/>
      <c r="DM197" s="44"/>
      <c r="DN197" s="41"/>
      <c r="DO197" s="41"/>
      <c r="DP197" s="41"/>
      <c r="DQ197" s="42"/>
      <c r="DR197" s="42"/>
      <c r="DS197" s="42"/>
      <c r="DT197" s="42"/>
      <c r="DU197" s="42"/>
      <c r="DV197" s="42"/>
      <c r="DW197" s="42"/>
      <c r="DX197" s="42"/>
      <c r="DY197" s="42"/>
      <c r="DZ197" s="43"/>
      <c r="EA197" s="43"/>
      <c r="EB197" s="43"/>
      <c r="EC197" s="43"/>
      <c r="ED197" s="41"/>
      <c r="EE197" s="41"/>
      <c r="EF197" s="41"/>
      <c r="EG197" s="42"/>
      <c r="EH197" s="42"/>
      <c r="EI197" s="42"/>
      <c r="EJ197" s="42"/>
      <c r="EK197" s="42"/>
      <c r="EL197" s="42"/>
      <c r="EM197" s="42"/>
      <c r="EN197" s="42"/>
      <c r="EO197" s="42"/>
      <c r="EP197" s="43"/>
      <c r="EQ197" s="42"/>
      <c r="ER197" s="42"/>
      <c r="ES197" s="42"/>
      <c r="ET197" s="42"/>
      <c r="EU197" s="42"/>
      <c r="EV197" s="42"/>
      <c r="EW197" s="42"/>
      <c r="EX197" s="42"/>
      <c r="EY197" s="43"/>
      <c r="EZ197" s="43"/>
      <c r="FA197" s="43"/>
      <c r="FB197" s="42"/>
      <c r="FC197" s="42"/>
      <c r="FD197" s="41"/>
      <c r="FE197" s="41"/>
      <c r="FF197" s="42"/>
      <c r="FG197" s="42"/>
      <c r="FH197" s="42"/>
      <c r="FI197" s="42"/>
      <c r="FJ197" s="42"/>
      <c r="FN197" s="8"/>
      <c r="FO197" s="8"/>
      <c r="FP197" s="8"/>
      <c r="FQ197" s="8"/>
      <c r="FR197" s="8"/>
      <c r="FS197" s="8"/>
      <c r="FT197" s="8"/>
      <c r="FU197" s="8"/>
      <c r="GC197" s="68"/>
      <c r="GD197" s="78" t="str">
        <f t="shared" si="448"/>
        <v/>
      </c>
      <c r="GE197" s="309"/>
      <c r="GF197" s="309"/>
      <c r="GQ197" s="8"/>
      <c r="HM197" s="8"/>
      <c r="HN197" s="13"/>
      <c r="HO197" s="13"/>
    </row>
    <row r="198" spans="3:223" x14ac:dyDescent="0.2">
      <c r="C198" s="426">
        <f t="shared" si="450"/>
        <v>45231</v>
      </c>
      <c r="D198" s="155">
        <f t="shared" si="451"/>
        <v>130</v>
      </c>
      <c r="E198" s="155">
        <f t="shared" si="449"/>
        <v>12666583.5</v>
      </c>
      <c r="F198" s="155"/>
      <c r="G198" s="438">
        <f t="shared" si="452"/>
        <v>163228.55021367522</v>
      </c>
      <c r="I198" s="444">
        <f>IF(D198="","",'Mx FORECAST'!DX136)</f>
        <v>8174051.6736111343</v>
      </c>
      <c r="J198" s="155">
        <f>IF(D198="","",'Mx FORECAST'!DP136)</f>
        <v>0</v>
      </c>
      <c r="K198" s="155">
        <f>IF(D198="","",'Mx FORECAST'!DQ136)</f>
        <v>0</v>
      </c>
      <c r="M198" s="155">
        <f>IF(D198="","",'Mx FORECAST'!DR136)</f>
        <v>0</v>
      </c>
      <c r="O198" s="155">
        <f>IF(D198="","",'Mx FORECAST'!DS136)</f>
        <v>0</v>
      </c>
      <c r="Q198" s="155">
        <f>IF(D198="","",'Mx FORECAST'!DT136)</f>
        <v>0</v>
      </c>
      <c r="S198" s="155">
        <f>IF(D198="","",'Mx FORECAST'!DU136)</f>
        <v>0</v>
      </c>
      <c r="U198" s="155">
        <f>IF(D198="","",'Mx FORECAST'!DV136)</f>
        <v>0</v>
      </c>
      <c r="W198" s="540">
        <f>IF(D198="","",'Mx FORECAST'!DY136)</f>
        <v>4492531.8263888657</v>
      </c>
      <c r="X198" s="540"/>
      <c r="Y198" s="437">
        <f>IF(D198="","",'Mx FORECAST'!DZ136)</f>
        <v>0.35467589396847743</v>
      </c>
      <c r="AD198" s="155"/>
      <c r="AF198" s="155"/>
      <c r="AH198" s="155"/>
      <c r="AJ198" s="155"/>
      <c r="AK198" s="8"/>
      <c r="AL198" s="8"/>
      <c r="AM198" s="8"/>
      <c r="AN198" s="8"/>
      <c r="AO198" s="8"/>
      <c r="AP198" s="8"/>
      <c r="AQ198" s="8"/>
      <c r="AR198" s="8"/>
      <c r="AS198" s="8"/>
      <c r="AT198" s="8"/>
      <c r="AU198" s="8"/>
      <c r="AV198" s="8"/>
      <c r="AW198" s="8"/>
      <c r="AX198" s="8"/>
      <c r="AY198" s="8"/>
      <c r="AZ198" s="8"/>
      <c r="BZ198" s="9"/>
      <c r="CA198" s="9"/>
      <c r="CB198" s="9"/>
      <c r="DM198" s="44"/>
      <c r="DN198" s="41"/>
      <c r="DO198" s="41"/>
      <c r="DP198" s="41"/>
      <c r="DQ198" s="42"/>
      <c r="DR198" s="42"/>
      <c r="DS198" s="42"/>
      <c r="DT198" s="42"/>
      <c r="DU198" s="42"/>
      <c r="DV198" s="42"/>
      <c r="DW198" s="42"/>
      <c r="DX198" s="42"/>
      <c r="DY198" s="42"/>
      <c r="DZ198" s="43"/>
      <c r="EA198" s="43"/>
      <c r="EB198" s="43"/>
      <c r="EC198" s="43"/>
      <c r="ED198" s="41"/>
      <c r="EE198" s="41"/>
      <c r="EF198" s="41"/>
      <c r="EG198" s="42"/>
      <c r="EH198" s="42"/>
      <c r="EI198" s="42"/>
      <c r="EJ198" s="42"/>
      <c r="EK198" s="42"/>
      <c r="EL198" s="42"/>
      <c r="EM198" s="42"/>
      <c r="EN198" s="42"/>
      <c r="EO198" s="42"/>
      <c r="EP198" s="43"/>
      <c r="EQ198" s="42"/>
      <c r="ER198" s="42"/>
      <c r="ES198" s="42"/>
      <c r="ET198" s="42"/>
      <c r="EU198" s="42"/>
      <c r="EV198" s="42"/>
      <c r="EW198" s="42"/>
      <c r="EX198" s="42"/>
      <c r="EY198" s="43"/>
      <c r="EZ198" s="43"/>
      <c r="FA198" s="43"/>
      <c r="FB198" s="42"/>
      <c r="FC198" s="42"/>
      <c r="FD198" s="41"/>
      <c r="FE198" s="41"/>
      <c r="FF198" s="42"/>
      <c r="FG198" s="42"/>
      <c r="FH198" s="42"/>
      <c r="FI198" s="42"/>
      <c r="FJ198" s="42"/>
      <c r="FN198" s="8"/>
      <c r="FO198" s="8"/>
      <c r="FP198" s="8"/>
      <c r="FQ198" s="8"/>
      <c r="FR198" s="8"/>
      <c r="FS198" s="8"/>
      <c r="FT198" s="8"/>
      <c r="FU198" s="8"/>
      <c r="GD198" s="78" t="str">
        <f t="shared" si="448"/>
        <v/>
      </c>
      <c r="GE198" s="309"/>
      <c r="GF198" s="309"/>
      <c r="GQ198" s="8"/>
      <c r="HM198" s="8"/>
      <c r="HN198" s="13"/>
      <c r="HO198" s="13"/>
    </row>
    <row r="199" spans="3:223" x14ac:dyDescent="0.2">
      <c r="C199" s="426">
        <f t="shared" si="450"/>
        <v>45261</v>
      </c>
      <c r="D199" s="155">
        <f t="shared" si="451"/>
        <v>131</v>
      </c>
      <c r="E199" s="155">
        <f t="shared" si="449"/>
        <v>12666583.5</v>
      </c>
      <c r="F199" s="155"/>
      <c r="G199" s="438">
        <f t="shared" si="452"/>
        <v>163228.55021367522</v>
      </c>
      <c r="I199" s="444">
        <f>IF(D199="","",'Mx FORECAST'!DX137)</f>
        <v>8337280.2238248102</v>
      </c>
      <c r="J199" s="155">
        <f>IF(D199="","",'Mx FORECAST'!DP137)</f>
        <v>0</v>
      </c>
      <c r="K199" s="155">
        <f>IF(D199="","",'Mx FORECAST'!DQ137)</f>
        <v>0</v>
      </c>
      <c r="M199" s="155">
        <f>IF(D199="","",'Mx FORECAST'!DR137)</f>
        <v>0</v>
      </c>
      <c r="O199" s="155">
        <f>IF(D199="","",'Mx FORECAST'!DS137)</f>
        <v>0</v>
      </c>
      <c r="Q199" s="155">
        <f>IF(D199="","",'Mx FORECAST'!DT137)</f>
        <v>0</v>
      </c>
      <c r="S199" s="155">
        <f>IF(D199="","",'Mx FORECAST'!DU137)</f>
        <v>0</v>
      </c>
      <c r="U199" s="155">
        <f>IF(D199="","",'Mx FORECAST'!DV137)</f>
        <v>0</v>
      </c>
      <c r="W199" s="540">
        <f>IF(D199="","",'Mx FORECAST'!DY137)</f>
        <v>4329303.2761751898</v>
      </c>
      <c r="X199" s="540"/>
      <c r="Y199" s="437">
        <f>IF(D199="","",'Mx FORECAST'!DZ137)</f>
        <v>0.34178934486755563</v>
      </c>
      <c r="AD199" s="155"/>
      <c r="AF199" s="155"/>
      <c r="AH199" s="155"/>
      <c r="AJ199" s="155"/>
      <c r="AK199" s="8"/>
      <c r="AL199" s="8"/>
      <c r="AM199" s="8"/>
      <c r="AN199" s="8"/>
      <c r="AO199" s="8"/>
      <c r="AP199" s="8"/>
      <c r="AQ199" s="8"/>
      <c r="AR199" s="8"/>
      <c r="AS199" s="8"/>
      <c r="AT199" s="8"/>
      <c r="AU199" s="8"/>
      <c r="AV199" s="8"/>
      <c r="AW199" s="8"/>
      <c r="AX199" s="8"/>
      <c r="AY199" s="8"/>
      <c r="AZ199" s="8"/>
      <c r="BZ199" s="9"/>
      <c r="CA199" s="9"/>
      <c r="CB199" s="9"/>
      <c r="DM199" s="44"/>
      <c r="DN199" s="41"/>
      <c r="DO199" s="41"/>
      <c r="DP199" s="41"/>
      <c r="DQ199" s="42"/>
      <c r="DR199" s="42"/>
      <c r="DS199" s="42"/>
      <c r="DT199" s="42"/>
      <c r="DU199" s="42"/>
      <c r="DV199" s="42"/>
      <c r="DW199" s="42"/>
      <c r="DX199" s="42"/>
      <c r="DY199" s="42"/>
      <c r="DZ199" s="43"/>
      <c r="EA199" s="43"/>
      <c r="EB199" s="43"/>
      <c r="EC199" s="43"/>
      <c r="ED199" s="41"/>
      <c r="EE199" s="41"/>
      <c r="EF199" s="41"/>
      <c r="EG199" s="42"/>
      <c r="EH199" s="42"/>
      <c r="EI199" s="42"/>
      <c r="EJ199" s="42"/>
      <c r="EK199" s="42"/>
      <c r="EL199" s="42"/>
      <c r="EM199" s="42"/>
      <c r="EN199" s="42"/>
      <c r="EO199" s="42"/>
      <c r="EP199" s="43"/>
      <c r="EQ199" s="42"/>
      <c r="ER199" s="42"/>
      <c r="ES199" s="42"/>
      <c r="ET199" s="42"/>
      <c r="EU199" s="42"/>
      <c r="EV199" s="42"/>
      <c r="EW199" s="42"/>
      <c r="EX199" s="42"/>
      <c r="EY199" s="43"/>
      <c r="EZ199" s="43"/>
      <c r="FA199" s="43"/>
      <c r="FB199" s="42"/>
      <c r="FC199" s="42"/>
      <c r="FD199" s="41"/>
      <c r="FE199" s="41"/>
      <c r="FF199" s="42"/>
      <c r="FG199" s="42"/>
      <c r="FH199" s="42"/>
      <c r="FI199" s="42"/>
      <c r="FJ199" s="42"/>
      <c r="FN199" s="8"/>
      <c r="FO199" s="8"/>
      <c r="FP199" s="8"/>
      <c r="FQ199" s="8"/>
      <c r="FR199" s="8"/>
      <c r="FS199" s="8"/>
      <c r="FT199" s="8"/>
      <c r="FU199" s="8"/>
      <c r="GD199" s="78" t="str">
        <f t="shared" si="448"/>
        <v/>
      </c>
      <c r="GE199" s="309"/>
      <c r="GF199" s="309"/>
      <c r="GQ199" s="8"/>
    </row>
    <row r="200" spans="3:223" x14ac:dyDescent="0.2">
      <c r="C200" s="426">
        <f t="shared" si="450"/>
        <v>45292</v>
      </c>
      <c r="D200" s="155">
        <f t="shared" si="451"/>
        <v>132</v>
      </c>
      <c r="E200" s="155">
        <f t="shared" si="449"/>
        <v>12666583.5</v>
      </c>
      <c r="F200" s="155"/>
      <c r="G200" s="438">
        <f t="shared" si="452"/>
        <v>163228.55021367522</v>
      </c>
      <c r="I200" s="444">
        <f>IF(D200="","",'Mx FORECAST'!DX138)</f>
        <v>8500508.7740384862</v>
      </c>
      <c r="J200" s="155">
        <f>IF(D200="","",'Mx FORECAST'!DP138)</f>
        <v>0</v>
      </c>
      <c r="K200" s="155">
        <f>IF(D200="","",'Mx FORECAST'!DQ138)</f>
        <v>0</v>
      </c>
      <c r="M200" s="155">
        <f>IF(D200="","",'Mx FORECAST'!DR138)</f>
        <v>0</v>
      </c>
      <c r="O200" s="155">
        <f>IF(D200="","",'Mx FORECAST'!DS138)</f>
        <v>0</v>
      </c>
      <c r="Q200" s="155">
        <f>IF(D200="","",'Mx FORECAST'!DT138)</f>
        <v>0</v>
      </c>
      <c r="S200" s="155">
        <f>IF(D200="","",'Mx FORECAST'!DU138)</f>
        <v>0</v>
      </c>
      <c r="U200" s="155">
        <f>IF(D200="","",'Mx FORECAST'!DV138)</f>
        <v>0</v>
      </c>
      <c r="W200" s="540">
        <f>IF(D200="","",'Mx FORECAST'!DY138)</f>
        <v>4166074.7259615138</v>
      </c>
      <c r="X200" s="540"/>
      <c r="Y200" s="437">
        <f>IF(D200="","",'Mx FORECAST'!DZ138)</f>
        <v>0.32890279576663384</v>
      </c>
      <c r="AD200" s="155"/>
      <c r="AF200" s="155"/>
      <c r="AH200" s="155"/>
      <c r="AJ200" s="155"/>
      <c r="AK200" s="8"/>
      <c r="AL200" s="8"/>
      <c r="AM200" s="8"/>
      <c r="AN200" s="8"/>
      <c r="AO200" s="8"/>
      <c r="AP200" s="8"/>
      <c r="AQ200" s="8"/>
      <c r="AR200" s="8"/>
      <c r="AS200" s="8"/>
      <c r="AT200" s="8"/>
      <c r="AU200" s="8"/>
      <c r="AV200" s="8"/>
      <c r="AW200" s="8"/>
      <c r="AX200" s="8"/>
      <c r="AY200" s="8"/>
      <c r="AZ200" s="8"/>
      <c r="BZ200" s="9"/>
      <c r="CA200" s="9"/>
      <c r="CB200" s="9"/>
      <c r="DM200" s="44"/>
      <c r="DN200" s="41"/>
      <c r="DO200" s="41"/>
      <c r="DP200" s="41"/>
      <c r="DQ200" s="42"/>
      <c r="DR200" s="42"/>
      <c r="DS200" s="42"/>
      <c r="DT200" s="42"/>
      <c r="DU200" s="42"/>
      <c r="DV200" s="42"/>
      <c r="DW200" s="42"/>
      <c r="DX200" s="42"/>
      <c r="DY200" s="42"/>
      <c r="DZ200" s="43"/>
      <c r="EA200" s="43"/>
      <c r="EB200" s="43"/>
      <c r="EC200" s="43"/>
      <c r="ED200" s="41"/>
      <c r="EE200" s="41"/>
      <c r="EF200" s="41"/>
      <c r="EG200" s="42"/>
      <c r="EH200" s="42"/>
      <c r="EI200" s="42"/>
      <c r="EJ200" s="42"/>
      <c r="EK200" s="42"/>
      <c r="EL200" s="42"/>
      <c r="EM200" s="42"/>
      <c r="EN200" s="42"/>
      <c r="EO200" s="42"/>
      <c r="EP200" s="43"/>
      <c r="EQ200" s="42"/>
      <c r="ER200" s="42"/>
      <c r="ES200" s="42"/>
      <c r="ET200" s="42"/>
      <c r="EU200" s="42"/>
      <c r="EV200" s="42"/>
      <c r="EW200" s="42"/>
      <c r="EX200" s="42"/>
      <c r="EY200" s="43"/>
      <c r="EZ200" s="43"/>
      <c r="FA200" s="43"/>
      <c r="FB200" s="42"/>
      <c r="FC200" s="42"/>
      <c r="FD200" s="41"/>
      <c r="FE200" s="41"/>
      <c r="FF200" s="42"/>
      <c r="FG200" s="42"/>
      <c r="FH200" s="42"/>
      <c r="FI200" s="42"/>
      <c r="FJ200" s="42"/>
      <c r="FN200" s="8"/>
      <c r="FO200" s="8"/>
      <c r="FP200" s="8"/>
      <c r="FQ200" s="8"/>
      <c r="FR200" s="8"/>
      <c r="FS200" s="8"/>
      <c r="FT200" s="8"/>
      <c r="FU200" s="8"/>
      <c r="GD200" s="78" t="str">
        <f t="shared" si="448"/>
        <v/>
      </c>
      <c r="GE200" s="309"/>
      <c r="GF200" s="309"/>
      <c r="GQ200" s="8"/>
    </row>
    <row r="201" spans="3:223" x14ac:dyDescent="0.2">
      <c r="C201" s="426">
        <f t="shared" si="450"/>
        <v>45323</v>
      </c>
      <c r="D201" s="155">
        <f t="shared" si="451"/>
        <v>133</v>
      </c>
      <c r="E201" s="155">
        <f t="shared" si="449"/>
        <v>12666583.5</v>
      </c>
      <c r="F201" s="155"/>
      <c r="G201" s="438">
        <f t="shared" si="452"/>
        <v>163228.55021367522</v>
      </c>
      <c r="I201" s="444">
        <f>IF(D201="","",'Mx FORECAST'!DX139)</f>
        <v>8663737.3242521621</v>
      </c>
      <c r="J201" s="155">
        <f>IF(D201="","",'Mx FORECAST'!DP139)</f>
        <v>0</v>
      </c>
      <c r="K201" s="155">
        <f>IF(D201="","",'Mx FORECAST'!DQ139)</f>
        <v>0</v>
      </c>
      <c r="M201" s="155">
        <f>IF(D201="","",'Mx FORECAST'!DR139)</f>
        <v>0</v>
      </c>
      <c r="O201" s="155">
        <f>IF(D201="","",'Mx FORECAST'!DS139)</f>
        <v>0</v>
      </c>
      <c r="Q201" s="155">
        <f>IF(D201="","",'Mx FORECAST'!DT139)</f>
        <v>0</v>
      </c>
      <c r="S201" s="155">
        <f>IF(D201="","",'Mx FORECAST'!DU139)</f>
        <v>0</v>
      </c>
      <c r="U201" s="155">
        <f>IF(D201="","",'Mx FORECAST'!DV139)</f>
        <v>0</v>
      </c>
      <c r="W201" s="540">
        <f>IF(D201="","",'Mx FORECAST'!DY139)</f>
        <v>4002846.1757478379</v>
      </c>
      <c r="X201" s="540"/>
      <c r="Y201" s="437">
        <f>IF(D201="","",'Mx FORECAST'!DZ139)</f>
        <v>0.31601624666571204</v>
      </c>
      <c r="AD201" s="155"/>
      <c r="AF201" s="155"/>
      <c r="AH201" s="155"/>
      <c r="AJ201" s="155"/>
      <c r="AK201" s="8"/>
      <c r="AL201" s="8"/>
      <c r="AM201" s="8"/>
      <c r="AN201" s="8"/>
      <c r="AO201" s="8"/>
      <c r="AP201" s="8"/>
      <c r="AQ201" s="8"/>
      <c r="AR201" s="8"/>
      <c r="AS201" s="8"/>
      <c r="AT201" s="8"/>
      <c r="AU201" s="8"/>
      <c r="AV201" s="8"/>
      <c r="AW201" s="8"/>
      <c r="AX201" s="8"/>
      <c r="AY201" s="8"/>
      <c r="AZ201" s="8"/>
      <c r="BZ201" s="9"/>
      <c r="CA201" s="9"/>
      <c r="CB201" s="9"/>
      <c r="DM201" s="44"/>
      <c r="DN201" s="41"/>
      <c r="DO201" s="41"/>
      <c r="DP201" s="41"/>
      <c r="DQ201" s="42"/>
      <c r="DR201" s="42"/>
      <c r="DS201" s="42"/>
      <c r="DT201" s="42"/>
      <c r="DU201" s="42"/>
      <c r="DV201" s="42"/>
      <c r="DW201" s="42"/>
      <c r="DX201" s="42"/>
      <c r="DY201" s="42"/>
      <c r="DZ201" s="43"/>
      <c r="EA201" s="43"/>
      <c r="EB201" s="43"/>
      <c r="EC201" s="43"/>
      <c r="ED201" s="41"/>
      <c r="EE201" s="41"/>
      <c r="EF201" s="41"/>
      <c r="EG201" s="42"/>
      <c r="EH201" s="42"/>
      <c r="EI201" s="42"/>
      <c r="EJ201" s="42"/>
      <c r="EK201" s="42"/>
      <c r="EL201" s="42"/>
      <c r="EM201" s="42"/>
      <c r="EN201" s="42"/>
      <c r="EO201" s="42"/>
      <c r="EP201" s="43"/>
      <c r="EQ201" s="42"/>
      <c r="ER201" s="42"/>
      <c r="ES201" s="42"/>
      <c r="ET201" s="42"/>
      <c r="EU201" s="42"/>
      <c r="EV201" s="42"/>
      <c r="EW201" s="42"/>
      <c r="EX201" s="42"/>
      <c r="EY201" s="43"/>
      <c r="EZ201" s="43"/>
      <c r="FA201" s="43"/>
      <c r="FB201" s="42"/>
      <c r="FC201" s="42"/>
      <c r="FD201" s="41"/>
      <c r="FE201" s="41"/>
      <c r="FF201" s="42"/>
      <c r="FG201" s="42"/>
      <c r="FH201" s="42"/>
      <c r="FI201" s="42"/>
      <c r="FJ201" s="42"/>
      <c r="FN201" s="8"/>
      <c r="FO201" s="8"/>
      <c r="FP201" s="8"/>
      <c r="FQ201" s="8"/>
      <c r="FR201" s="8"/>
      <c r="FS201" s="8"/>
      <c r="FT201" s="8"/>
      <c r="FU201" s="8"/>
      <c r="GD201" s="78" t="str">
        <f t="shared" si="448"/>
        <v/>
      </c>
      <c r="GE201" s="309"/>
      <c r="GF201" s="309"/>
      <c r="GQ201" s="8"/>
    </row>
    <row r="202" spans="3:223" x14ac:dyDescent="0.2">
      <c r="C202" s="426">
        <f t="shared" si="450"/>
        <v>45352</v>
      </c>
      <c r="D202" s="155">
        <f t="shared" si="451"/>
        <v>134</v>
      </c>
      <c r="E202" s="155">
        <f t="shared" si="449"/>
        <v>12666583.5</v>
      </c>
      <c r="F202" s="155"/>
      <c r="G202" s="438">
        <f t="shared" si="452"/>
        <v>163228.55021367522</v>
      </c>
      <c r="I202" s="444">
        <f>IF(D202="","",'Mx FORECAST'!DX140)</f>
        <v>8826965.8744658381</v>
      </c>
      <c r="J202" s="155">
        <f>IF(D202="","",'Mx FORECAST'!DP140)</f>
        <v>0</v>
      </c>
      <c r="K202" s="155">
        <f>IF(D202="","",'Mx FORECAST'!DQ140)</f>
        <v>0</v>
      </c>
      <c r="M202" s="155">
        <f>IF(D202="","",'Mx FORECAST'!DR140)</f>
        <v>0</v>
      </c>
      <c r="O202" s="155">
        <f>IF(D202="","",'Mx FORECAST'!DS140)</f>
        <v>0</v>
      </c>
      <c r="Q202" s="155">
        <f>IF(D202="","",'Mx FORECAST'!DT140)</f>
        <v>0</v>
      </c>
      <c r="S202" s="155">
        <f>IF(D202="","",'Mx FORECAST'!DU140)</f>
        <v>0</v>
      </c>
      <c r="U202" s="155">
        <f>IF(D202="","",'Mx FORECAST'!DV140)</f>
        <v>0</v>
      </c>
      <c r="W202" s="540">
        <f>IF(D202="","",'Mx FORECAST'!DY140)</f>
        <v>3839617.6255341619</v>
      </c>
      <c r="X202" s="540"/>
      <c r="Y202" s="437">
        <f>IF(D202="","",'Mx FORECAST'!DZ140)</f>
        <v>0.30312969756479019</v>
      </c>
      <c r="AD202" s="155"/>
      <c r="AF202" s="155"/>
      <c r="AH202" s="155"/>
      <c r="AJ202" s="155"/>
      <c r="AK202" s="8"/>
      <c r="AL202" s="8"/>
      <c r="AM202" s="8"/>
      <c r="AN202" s="8"/>
      <c r="AO202" s="8"/>
      <c r="AP202" s="8"/>
      <c r="AQ202" s="8"/>
      <c r="AR202" s="8"/>
      <c r="AS202" s="8"/>
      <c r="AT202" s="8"/>
      <c r="AU202" s="8"/>
      <c r="AV202" s="8"/>
      <c r="AW202" s="8"/>
      <c r="AX202" s="8"/>
      <c r="AY202" s="8"/>
      <c r="AZ202" s="8"/>
      <c r="BZ202" s="9"/>
      <c r="CA202" s="9"/>
      <c r="CB202" s="9"/>
      <c r="DM202" s="44"/>
      <c r="DN202" s="41"/>
      <c r="DO202" s="41"/>
      <c r="DP202" s="41"/>
      <c r="DQ202" s="42"/>
      <c r="DR202" s="42"/>
      <c r="DS202" s="42"/>
      <c r="DT202" s="42"/>
      <c r="DU202" s="42"/>
      <c r="DV202" s="42"/>
      <c r="DW202" s="42"/>
      <c r="DX202" s="42"/>
      <c r="DY202" s="42"/>
      <c r="DZ202" s="43"/>
      <c r="EA202" s="43"/>
      <c r="EB202" s="43"/>
      <c r="EC202" s="43"/>
      <c r="ED202" s="41"/>
      <c r="EE202" s="41"/>
      <c r="EF202" s="41"/>
      <c r="EG202" s="42"/>
      <c r="EH202" s="42"/>
      <c r="EI202" s="42"/>
      <c r="EJ202" s="42"/>
      <c r="EK202" s="42"/>
      <c r="EL202" s="42"/>
      <c r="EM202" s="42"/>
      <c r="EN202" s="42"/>
      <c r="EO202" s="42"/>
      <c r="EP202" s="43"/>
      <c r="EQ202" s="42"/>
      <c r="ER202" s="42"/>
      <c r="ES202" s="42"/>
      <c r="ET202" s="42"/>
      <c r="EU202" s="42"/>
      <c r="EV202" s="42"/>
      <c r="EW202" s="42"/>
      <c r="EX202" s="42"/>
      <c r="EY202" s="43"/>
      <c r="EZ202" s="43"/>
      <c r="FA202" s="43"/>
      <c r="FB202" s="42"/>
      <c r="FC202" s="42"/>
      <c r="FD202" s="41"/>
      <c r="FE202" s="41"/>
      <c r="FF202" s="42"/>
      <c r="FG202" s="42"/>
      <c r="FH202" s="42"/>
      <c r="FI202" s="42"/>
      <c r="FJ202" s="42"/>
      <c r="FN202" s="8"/>
      <c r="FO202" s="8"/>
      <c r="FP202" s="8"/>
      <c r="FQ202" s="8"/>
      <c r="FR202" s="8"/>
      <c r="FS202" s="8"/>
      <c r="FT202" s="8"/>
      <c r="FU202" s="8"/>
      <c r="GD202" s="78" t="str">
        <f t="shared" si="448"/>
        <v/>
      </c>
      <c r="GE202" s="309"/>
      <c r="GF202" s="309"/>
      <c r="GQ202" s="8"/>
    </row>
    <row r="203" spans="3:223" x14ac:dyDescent="0.2">
      <c r="C203" s="426">
        <f t="shared" si="450"/>
        <v>45383</v>
      </c>
      <c r="D203" s="155">
        <f t="shared" si="451"/>
        <v>135</v>
      </c>
      <c r="E203" s="155">
        <f t="shared" si="449"/>
        <v>12666583.5</v>
      </c>
      <c r="F203" s="155"/>
      <c r="G203" s="438">
        <f t="shared" si="452"/>
        <v>163228.55021367522</v>
      </c>
      <c r="I203" s="444">
        <f>IF(D203="","",'Mx FORECAST'!DX141)</f>
        <v>8990194.424679514</v>
      </c>
      <c r="J203" s="155">
        <f>IF(D203="","",'Mx FORECAST'!DP141)</f>
        <v>0</v>
      </c>
      <c r="K203" s="155">
        <f>IF(D203="","",'Mx FORECAST'!DQ141)</f>
        <v>0</v>
      </c>
      <c r="M203" s="155">
        <f>IF(D203="","",'Mx FORECAST'!DR141)</f>
        <v>0</v>
      </c>
      <c r="O203" s="155">
        <f>IF(D203="","",'Mx FORECAST'!DS141)</f>
        <v>0</v>
      </c>
      <c r="Q203" s="155">
        <f>IF(D203="","",'Mx FORECAST'!DT141)</f>
        <v>0</v>
      </c>
      <c r="S203" s="155">
        <f>IF(D203="","",'Mx FORECAST'!DU141)</f>
        <v>0</v>
      </c>
      <c r="U203" s="155">
        <f>IF(D203="","",'Mx FORECAST'!DV141)</f>
        <v>0</v>
      </c>
      <c r="W203" s="540">
        <f>IF(D203="","",'Mx FORECAST'!DY141)</f>
        <v>3676389.075320486</v>
      </c>
      <c r="X203" s="540"/>
      <c r="Y203" s="437">
        <f>IF(D203="","",'Mx FORECAST'!DZ141)</f>
        <v>0.29024314846386839</v>
      </c>
      <c r="AD203" s="155"/>
      <c r="AF203" s="155"/>
      <c r="AH203" s="155"/>
      <c r="AJ203" s="155"/>
      <c r="AK203" s="8"/>
      <c r="AL203" s="8"/>
      <c r="AM203" s="8"/>
      <c r="AN203" s="8"/>
      <c r="AO203" s="8"/>
      <c r="AP203" s="8"/>
      <c r="AQ203" s="8"/>
      <c r="AR203" s="8"/>
      <c r="AS203" s="8"/>
      <c r="AT203" s="8"/>
      <c r="AU203" s="8"/>
      <c r="AV203" s="8"/>
      <c r="AW203" s="8"/>
      <c r="AX203" s="8"/>
      <c r="AY203" s="8"/>
      <c r="AZ203" s="8"/>
      <c r="BZ203" s="9"/>
      <c r="CA203" s="9"/>
      <c r="CB203" s="9"/>
      <c r="DM203" s="44"/>
      <c r="DN203" s="41"/>
      <c r="DO203" s="41"/>
      <c r="DP203" s="41"/>
      <c r="DQ203" s="42"/>
      <c r="DR203" s="42"/>
      <c r="DS203" s="42"/>
      <c r="DT203" s="42"/>
      <c r="DU203" s="42"/>
      <c r="DV203" s="42"/>
      <c r="DW203" s="42"/>
      <c r="DX203" s="42"/>
      <c r="DY203" s="42"/>
      <c r="DZ203" s="43"/>
      <c r="EA203" s="43"/>
      <c r="EB203" s="43"/>
      <c r="EC203" s="43"/>
      <c r="ED203" s="41"/>
      <c r="EE203" s="41"/>
      <c r="EF203" s="41"/>
      <c r="EG203" s="42"/>
      <c r="EH203" s="42"/>
      <c r="EI203" s="42"/>
      <c r="EJ203" s="42"/>
      <c r="EK203" s="42"/>
      <c r="EL203" s="42"/>
      <c r="EM203" s="42"/>
      <c r="EN203" s="42"/>
      <c r="EO203" s="42"/>
      <c r="EP203" s="43"/>
      <c r="EQ203" s="42"/>
      <c r="ER203" s="42"/>
      <c r="ES203" s="42"/>
      <c r="ET203" s="42"/>
      <c r="EU203" s="42"/>
      <c r="EV203" s="42"/>
      <c r="EW203" s="42"/>
      <c r="EX203" s="42"/>
      <c r="EY203" s="43"/>
      <c r="EZ203" s="43"/>
      <c r="FA203" s="43"/>
      <c r="FB203" s="42"/>
      <c r="FC203" s="42"/>
      <c r="FD203" s="41"/>
      <c r="FE203" s="41"/>
      <c r="FF203" s="42"/>
      <c r="FG203" s="42"/>
      <c r="FH203" s="42"/>
      <c r="FI203" s="42"/>
      <c r="FJ203" s="42"/>
      <c r="FN203" s="8"/>
      <c r="FO203" s="8"/>
      <c r="FP203" s="8"/>
      <c r="FQ203" s="8"/>
      <c r="FR203" s="8"/>
      <c r="FS203" s="8"/>
      <c r="FT203" s="8"/>
      <c r="FU203" s="8"/>
      <c r="GD203" s="78" t="str">
        <f t="shared" si="448"/>
        <v/>
      </c>
      <c r="GE203" s="309"/>
      <c r="GF203" s="309"/>
      <c r="GQ203" s="8"/>
    </row>
    <row r="204" spans="3:223" x14ac:dyDescent="0.2">
      <c r="C204" s="426">
        <f t="shared" si="450"/>
        <v>45413</v>
      </c>
      <c r="D204" s="155">
        <f t="shared" si="451"/>
        <v>136</v>
      </c>
      <c r="E204" s="155">
        <f t="shared" si="449"/>
        <v>12666583.5</v>
      </c>
      <c r="F204" s="155"/>
      <c r="G204" s="438">
        <f t="shared" si="452"/>
        <v>163228.55021367522</v>
      </c>
      <c r="I204" s="444">
        <f>IF(D204="","",'Mx FORECAST'!DX142)</f>
        <v>9153422.97489319</v>
      </c>
      <c r="J204" s="155">
        <f>IF(D204="","",'Mx FORECAST'!DP142)</f>
        <v>0</v>
      </c>
      <c r="K204" s="155">
        <f>IF(D204="","",'Mx FORECAST'!DQ142)</f>
        <v>0</v>
      </c>
      <c r="M204" s="155">
        <f>IF(D204="","",'Mx FORECAST'!DR142)</f>
        <v>0</v>
      </c>
      <c r="O204" s="155">
        <f>IF(D204="","",'Mx FORECAST'!DS142)</f>
        <v>0</v>
      </c>
      <c r="Q204" s="155">
        <f>IF(D204="","",'Mx FORECAST'!DT142)</f>
        <v>0</v>
      </c>
      <c r="S204" s="155">
        <f>IF(D204="","",'Mx FORECAST'!DU142)</f>
        <v>0</v>
      </c>
      <c r="U204" s="155">
        <f>IF(D204="","",'Mx FORECAST'!DV142)</f>
        <v>0</v>
      </c>
      <c r="W204" s="540">
        <f>IF(D204="","",'Mx FORECAST'!DY142)</f>
        <v>3513160.52510681</v>
      </c>
      <c r="X204" s="540"/>
      <c r="Y204" s="437">
        <f>IF(D204="","",'Mx FORECAST'!DZ142)</f>
        <v>0.2773565993629466</v>
      </c>
      <c r="AD204" s="155"/>
      <c r="AF204" s="155"/>
      <c r="AH204" s="155"/>
      <c r="AJ204" s="155"/>
      <c r="AK204" s="8"/>
      <c r="AL204" s="8"/>
      <c r="AM204" s="8"/>
      <c r="AN204" s="8"/>
      <c r="AO204" s="8"/>
      <c r="AP204" s="8"/>
      <c r="AQ204" s="8"/>
      <c r="AR204" s="8"/>
      <c r="AS204" s="8"/>
      <c r="AT204" s="8"/>
      <c r="AU204" s="8"/>
      <c r="AV204" s="8"/>
      <c r="AW204" s="8"/>
      <c r="AX204" s="8"/>
      <c r="AY204" s="8"/>
      <c r="AZ204" s="8"/>
      <c r="BZ204" s="9"/>
      <c r="CA204" s="9"/>
      <c r="CB204" s="9"/>
      <c r="DM204" s="44"/>
      <c r="DN204" s="41"/>
      <c r="DO204" s="41"/>
      <c r="DP204" s="41"/>
      <c r="DQ204" s="42"/>
      <c r="DR204" s="42"/>
      <c r="DS204" s="42"/>
      <c r="DT204" s="42"/>
      <c r="DU204" s="42"/>
      <c r="DV204" s="42"/>
      <c r="DW204" s="42"/>
      <c r="DX204" s="42"/>
      <c r="DY204" s="42"/>
      <c r="DZ204" s="43"/>
      <c r="EA204" s="43"/>
      <c r="EB204" s="43"/>
      <c r="EC204" s="43"/>
      <c r="ED204" s="41"/>
      <c r="EE204" s="41"/>
      <c r="EF204" s="41"/>
      <c r="EG204" s="42"/>
      <c r="EH204" s="42"/>
      <c r="EI204" s="42"/>
      <c r="EJ204" s="42"/>
      <c r="EK204" s="42"/>
      <c r="EL204" s="42"/>
      <c r="EM204" s="42"/>
      <c r="EN204" s="42"/>
      <c r="EO204" s="42"/>
      <c r="EP204" s="43"/>
      <c r="EQ204" s="42"/>
      <c r="ER204" s="42"/>
      <c r="ES204" s="42"/>
      <c r="ET204" s="42"/>
      <c r="EU204" s="42"/>
      <c r="EV204" s="42"/>
      <c r="EW204" s="42"/>
      <c r="EX204" s="42"/>
      <c r="EY204" s="43"/>
      <c r="EZ204" s="43"/>
      <c r="FA204" s="43"/>
      <c r="FB204" s="42"/>
      <c r="FC204" s="42"/>
      <c r="FD204" s="41"/>
      <c r="FE204" s="41"/>
      <c r="FF204" s="42"/>
      <c r="FG204" s="42"/>
      <c r="FH204" s="42"/>
      <c r="FI204" s="42"/>
      <c r="FJ204" s="42"/>
      <c r="FN204" s="8"/>
      <c r="FO204" s="8"/>
      <c r="FP204" s="8"/>
      <c r="FQ204" s="8"/>
      <c r="FR204" s="8"/>
      <c r="FS204" s="8"/>
      <c r="FT204" s="8"/>
      <c r="FU204" s="8"/>
      <c r="GD204" s="78" t="str">
        <f t="shared" si="448"/>
        <v/>
      </c>
      <c r="GE204" s="309"/>
      <c r="GF204" s="309"/>
      <c r="GQ204" s="8"/>
    </row>
    <row r="205" spans="3:223" x14ac:dyDescent="0.2">
      <c r="C205" s="426">
        <f t="shared" si="450"/>
        <v>45444</v>
      </c>
      <c r="D205" s="155">
        <f t="shared" si="451"/>
        <v>137</v>
      </c>
      <c r="E205" s="155">
        <f t="shared" si="449"/>
        <v>12666583.5</v>
      </c>
      <c r="F205" s="155"/>
      <c r="G205" s="438">
        <f t="shared" si="452"/>
        <v>163228.55021367522</v>
      </c>
      <c r="I205" s="444">
        <f>IF(D205="","",'Mx FORECAST'!DX143)</f>
        <v>9316651.5251068659</v>
      </c>
      <c r="J205" s="155">
        <f>IF(D205="","",'Mx FORECAST'!DP143)</f>
        <v>0</v>
      </c>
      <c r="K205" s="155">
        <f>IF(D205="","",'Mx FORECAST'!DQ143)</f>
        <v>0</v>
      </c>
      <c r="M205" s="155">
        <f>IF(D205="","",'Mx FORECAST'!DR143)</f>
        <v>0</v>
      </c>
      <c r="O205" s="155">
        <f>IF(D205="","",'Mx FORECAST'!DS143)</f>
        <v>0</v>
      </c>
      <c r="Q205" s="155">
        <f>IF(D205="","",'Mx FORECAST'!DT143)</f>
        <v>0</v>
      </c>
      <c r="S205" s="155">
        <f>IF(D205="","",'Mx FORECAST'!DU143)</f>
        <v>0</v>
      </c>
      <c r="U205" s="155">
        <f>IF(D205="","",'Mx FORECAST'!DV143)</f>
        <v>0</v>
      </c>
      <c r="W205" s="540">
        <f>IF(D205="","",'Mx FORECAST'!DY143)</f>
        <v>3349931.9748931341</v>
      </c>
      <c r="X205" s="540"/>
      <c r="Y205" s="437">
        <f>IF(D205="","",'Mx FORECAST'!DZ143)</f>
        <v>0.2644700502620248</v>
      </c>
      <c r="AD205" s="155"/>
      <c r="AF205" s="155"/>
      <c r="AH205" s="155"/>
      <c r="AJ205" s="155"/>
      <c r="AK205" s="8"/>
      <c r="AL205" s="8"/>
      <c r="AM205" s="8"/>
      <c r="AN205" s="8"/>
      <c r="AO205" s="8"/>
      <c r="AP205" s="8"/>
      <c r="AQ205" s="8"/>
      <c r="AR205" s="8"/>
      <c r="AS205" s="8"/>
      <c r="AT205" s="8"/>
      <c r="AU205" s="8"/>
      <c r="AV205" s="8"/>
      <c r="AW205" s="8"/>
      <c r="AX205" s="8"/>
      <c r="AY205" s="8"/>
      <c r="AZ205" s="8"/>
      <c r="BZ205" s="9"/>
      <c r="CA205" s="9"/>
      <c r="CB205" s="9"/>
      <c r="DM205" s="44"/>
      <c r="DN205" s="41"/>
      <c r="DO205" s="41"/>
      <c r="DP205" s="41"/>
      <c r="DQ205" s="42"/>
      <c r="DR205" s="42"/>
      <c r="DS205" s="42"/>
      <c r="DT205" s="42"/>
      <c r="DU205" s="42"/>
      <c r="DV205" s="42"/>
      <c r="DW205" s="42"/>
      <c r="DX205" s="42"/>
      <c r="DY205" s="42"/>
      <c r="DZ205" s="43"/>
      <c r="EA205" s="43"/>
      <c r="EB205" s="43"/>
      <c r="EC205" s="43"/>
      <c r="ED205" s="41"/>
      <c r="EE205" s="41"/>
      <c r="EF205" s="41"/>
      <c r="EG205" s="42"/>
      <c r="EH205" s="42"/>
      <c r="EI205" s="42"/>
      <c r="EJ205" s="42"/>
      <c r="EK205" s="42"/>
      <c r="EL205" s="42"/>
      <c r="EM205" s="42"/>
      <c r="EN205" s="42"/>
      <c r="EO205" s="42"/>
      <c r="EP205" s="43"/>
      <c r="EQ205" s="42"/>
      <c r="ER205" s="42"/>
      <c r="ES205" s="42"/>
      <c r="ET205" s="42"/>
      <c r="EU205" s="42"/>
      <c r="EV205" s="42"/>
      <c r="EW205" s="42"/>
      <c r="EX205" s="42"/>
      <c r="EY205" s="43"/>
      <c r="EZ205" s="43"/>
      <c r="FA205" s="43"/>
      <c r="FB205" s="42"/>
      <c r="FC205" s="42"/>
      <c r="FD205" s="41"/>
      <c r="FE205" s="41"/>
      <c r="FF205" s="42"/>
      <c r="FG205" s="42"/>
      <c r="FH205" s="42"/>
      <c r="FI205" s="42"/>
      <c r="FJ205" s="42"/>
      <c r="FN205" s="8"/>
      <c r="FO205" s="8"/>
      <c r="FP205" s="8"/>
      <c r="FQ205" s="8"/>
      <c r="FR205" s="8"/>
      <c r="FS205" s="8"/>
      <c r="FT205" s="8"/>
      <c r="FU205" s="8"/>
      <c r="GD205" s="78" t="str">
        <f t="shared" si="448"/>
        <v/>
      </c>
      <c r="GE205" s="309"/>
      <c r="GF205" s="309"/>
      <c r="GQ205" s="8"/>
    </row>
    <row r="206" spans="3:223" x14ac:dyDescent="0.2">
      <c r="C206" s="426">
        <f t="shared" si="450"/>
        <v>45474</v>
      </c>
      <c r="D206" s="155">
        <f t="shared" si="451"/>
        <v>138</v>
      </c>
      <c r="E206" s="155">
        <f t="shared" si="449"/>
        <v>12666583.5</v>
      </c>
      <c r="F206" s="155"/>
      <c r="G206" s="438">
        <f t="shared" si="452"/>
        <v>163228.55021367522</v>
      </c>
      <c r="I206" s="444">
        <f>IF(D206="","",'Mx FORECAST'!DX144)</f>
        <v>9479880.0753205419</v>
      </c>
      <c r="J206" s="155">
        <f>IF(D206="","",'Mx FORECAST'!DP144)</f>
        <v>0</v>
      </c>
      <c r="K206" s="155">
        <f>IF(D206="","",'Mx FORECAST'!DQ144)</f>
        <v>0</v>
      </c>
      <c r="M206" s="155">
        <f>IF(D206="","",'Mx FORECAST'!DR144)</f>
        <v>0</v>
      </c>
      <c r="O206" s="155">
        <f>IF(D206="","",'Mx FORECAST'!DS144)</f>
        <v>0</v>
      </c>
      <c r="Q206" s="155">
        <f>IF(D206="","",'Mx FORECAST'!DT144)</f>
        <v>0</v>
      </c>
      <c r="S206" s="155">
        <f>IF(D206="","",'Mx FORECAST'!DU144)</f>
        <v>0</v>
      </c>
      <c r="U206" s="155">
        <f>IF(D206="","",'Mx FORECAST'!DV144)</f>
        <v>0</v>
      </c>
      <c r="W206" s="540">
        <f>IF(D206="","",'Mx FORECAST'!DY144)</f>
        <v>3186703.4246794581</v>
      </c>
      <c r="X206" s="540"/>
      <c r="Y206" s="437">
        <f>IF(D206="","",'Mx FORECAST'!DZ144)</f>
        <v>0.25158350116110301</v>
      </c>
      <c r="AD206" s="155"/>
      <c r="AF206" s="155"/>
      <c r="AH206" s="155"/>
      <c r="AJ206" s="155"/>
      <c r="AK206" s="8"/>
      <c r="AL206" s="8"/>
      <c r="AM206" s="8"/>
      <c r="AN206" s="8"/>
      <c r="AO206" s="8"/>
      <c r="AP206" s="8"/>
      <c r="AQ206" s="8"/>
      <c r="AR206" s="8"/>
      <c r="AS206" s="8"/>
      <c r="AT206" s="8"/>
      <c r="AU206" s="8"/>
      <c r="AV206" s="8"/>
      <c r="AW206" s="8"/>
      <c r="AX206" s="8"/>
      <c r="AY206" s="8"/>
      <c r="AZ206" s="8"/>
      <c r="BZ206" s="9"/>
      <c r="CA206" s="9"/>
      <c r="CB206" s="9"/>
      <c r="DM206" s="44"/>
      <c r="DN206" s="41"/>
      <c r="DO206" s="41"/>
      <c r="DP206" s="41"/>
      <c r="DQ206" s="42"/>
      <c r="DR206" s="42"/>
      <c r="DS206" s="42"/>
      <c r="DT206" s="42"/>
      <c r="DU206" s="42"/>
      <c r="DV206" s="42"/>
      <c r="DW206" s="42"/>
      <c r="DX206" s="42"/>
      <c r="DY206" s="42"/>
      <c r="DZ206" s="43"/>
      <c r="EA206" s="43"/>
      <c r="EB206" s="43"/>
      <c r="EC206" s="43"/>
      <c r="ED206" s="41"/>
      <c r="EE206" s="41"/>
      <c r="EF206" s="41"/>
      <c r="EG206" s="42"/>
      <c r="EH206" s="42"/>
      <c r="EI206" s="42"/>
      <c r="EJ206" s="42"/>
      <c r="EK206" s="42"/>
      <c r="EL206" s="42"/>
      <c r="EM206" s="42"/>
      <c r="EN206" s="42"/>
      <c r="EO206" s="42"/>
      <c r="EP206" s="43"/>
      <c r="EQ206" s="42"/>
      <c r="ER206" s="42"/>
      <c r="ES206" s="42"/>
      <c r="ET206" s="42"/>
      <c r="EU206" s="42"/>
      <c r="EV206" s="42"/>
      <c r="EW206" s="42"/>
      <c r="EX206" s="42"/>
      <c r="EY206" s="43"/>
      <c r="EZ206" s="43"/>
      <c r="FA206" s="43"/>
      <c r="FB206" s="42"/>
      <c r="FC206" s="42"/>
      <c r="FD206" s="41"/>
      <c r="FE206" s="41"/>
      <c r="FF206" s="42"/>
      <c r="FG206" s="42"/>
      <c r="FH206" s="42"/>
      <c r="FI206" s="42"/>
      <c r="FJ206" s="42"/>
      <c r="FN206" s="8"/>
      <c r="FO206" s="8"/>
      <c r="FP206" s="8"/>
      <c r="FQ206" s="8"/>
      <c r="FR206" s="8"/>
      <c r="FS206" s="8"/>
      <c r="FT206" s="8"/>
      <c r="FU206" s="8"/>
      <c r="GD206" s="78" t="str">
        <f t="shared" si="448"/>
        <v/>
      </c>
      <c r="GE206" s="309"/>
      <c r="GF206" s="309"/>
      <c r="GQ206" s="8"/>
    </row>
    <row r="207" spans="3:223" x14ac:dyDescent="0.2">
      <c r="C207" s="426">
        <f t="shared" si="450"/>
        <v>45505</v>
      </c>
      <c r="D207" s="155">
        <f t="shared" si="451"/>
        <v>139</v>
      </c>
      <c r="E207" s="155">
        <f t="shared" si="449"/>
        <v>12666583.5</v>
      </c>
      <c r="F207" s="155"/>
      <c r="G207" s="438">
        <f t="shared" si="452"/>
        <v>163228.55021367522</v>
      </c>
      <c r="I207" s="444">
        <f>IF(D207="","",'Mx FORECAST'!DX145)</f>
        <v>9643108.6255342178</v>
      </c>
      <c r="J207" s="155">
        <f>IF(D207="","",'Mx FORECAST'!DP145)</f>
        <v>0</v>
      </c>
      <c r="K207" s="155">
        <f>IF(D207="","",'Mx FORECAST'!DQ145)</f>
        <v>0</v>
      </c>
      <c r="M207" s="155">
        <f>IF(D207="","",'Mx FORECAST'!DR145)</f>
        <v>0</v>
      </c>
      <c r="O207" s="155">
        <f>IF(D207="","",'Mx FORECAST'!DS145)</f>
        <v>0</v>
      </c>
      <c r="Q207" s="155">
        <f>IF(D207="","",'Mx FORECAST'!DT145)</f>
        <v>0</v>
      </c>
      <c r="S207" s="155">
        <f>IF(D207="","",'Mx FORECAST'!DU145)</f>
        <v>0</v>
      </c>
      <c r="U207" s="155">
        <f>IF(D207="","",'Mx FORECAST'!DV145)</f>
        <v>0</v>
      </c>
      <c r="W207" s="540">
        <f>IF(D207="","",'Mx FORECAST'!DY145)</f>
        <v>3023474.8744657822</v>
      </c>
      <c r="X207" s="540"/>
      <c r="Y207" s="437">
        <f>IF(D207="","",'Mx FORECAST'!DZ145)</f>
        <v>0.23869695206018121</v>
      </c>
      <c r="AD207" s="155"/>
      <c r="AF207" s="155"/>
      <c r="AH207" s="155"/>
      <c r="AJ207" s="155"/>
      <c r="AK207" s="8"/>
      <c r="AL207" s="8"/>
      <c r="AM207" s="8"/>
      <c r="AN207" s="8"/>
      <c r="AO207" s="8"/>
      <c r="AP207" s="8"/>
      <c r="AQ207" s="8"/>
      <c r="AR207" s="8"/>
      <c r="AS207" s="8"/>
      <c r="AT207" s="8"/>
      <c r="AU207" s="8"/>
      <c r="AV207" s="8"/>
      <c r="AW207" s="8"/>
      <c r="AX207" s="8"/>
      <c r="AY207" s="8"/>
      <c r="AZ207" s="8"/>
      <c r="BZ207" s="9"/>
      <c r="CA207" s="9"/>
      <c r="CB207" s="9"/>
      <c r="DM207" s="44"/>
      <c r="DN207" s="41"/>
      <c r="DO207" s="41"/>
      <c r="DP207" s="41"/>
      <c r="DQ207" s="42"/>
      <c r="DR207" s="42"/>
      <c r="DS207" s="42"/>
      <c r="DT207" s="42"/>
      <c r="DU207" s="42"/>
      <c r="DV207" s="42"/>
      <c r="DW207" s="42"/>
      <c r="DX207" s="42"/>
      <c r="DY207" s="42"/>
      <c r="DZ207" s="43"/>
      <c r="EA207" s="43"/>
      <c r="EB207" s="43"/>
      <c r="EC207" s="43"/>
      <c r="ED207" s="41"/>
      <c r="EE207" s="41"/>
      <c r="EF207" s="41"/>
      <c r="EG207" s="42"/>
      <c r="EH207" s="42"/>
      <c r="EI207" s="42"/>
      <c r="EJ207" s="42"/>
      <c r="EK207" s="42"/>
      <c r="EL207" s="42"/>
      <c r="EM207" s="42"/>
      <c r="EN207" s="42"/>
      <c r="EO207" s="42"/>
      <c r="EP207" s="43"/>
      <c r="EQ207" s="42"/>
      <c r="ER207" s="42"/>
      <c r="ES207" s="42"/>
      <c r="ET207" s="42"/>
      <c r="EU207" s="42"/>
      <c r="EV207" s="42"/>
      <c r="EW207" s="42"/>
      <c r="EX207" s="42"/>
      <c r="EY207" s="43"/>
      <c r="EZ207" s="43"/>
      <c r="FA207" s="43"/>
      <c r="FB207" s="42"/>
      <c r="FC207" s="42"/>
      <c r="FD207" s="41"/>
      <c r="FE207" s="41"/>
      <c r="FF207" s="42"/>
      <c r="FG207" s="42"/>
      <c r="FH207" s="42"/>
      <c r="FI207" s="42"/>
      <c r="FJ207" s="42"/>
      <c r="FN207" s="8"/>
      <c r="FO207" s="8"/>
      <c r="FP207" s="8"/>
      <c r="FQ207" s="8"/>
      <c r="FR207" s="8"/>
      <c r="FS207" s="8"/>
      <c r="FT207" s="8"/>
      <c r="FU207" s="8"/>
      <c r="GD207" s="78" t="str">
        <f t="shared" si="448"/>
        <v/>
      </c>
      <c r="GE207" s="309"/>
      <c r="GF207" s="309"/>
      <c r="GQ207" s="8"/>
    </row>
    <row r="208" spans="3:223" x14ac:dyDescent="0.2">
      <c r="C208" s="426">
        <f t="shared" si="450"/>
        <v>45536</v>
      </c>
      <c r="D208" s="155">
        <f t="shared" si="451"/>
        <v>140</v>
      </c>
      <c r="E208" s="155">
        <f t="shared" si="449"/>
        <v>12666583.5</v>
      </c>
      <c r="F208" s="155"/>
      <c r="G208" s="438">
        <f t="shared" si="452"/>
        <v>163228.55021367522</v>
      </c>
      <c r="I208" s="444">
        <f>IF(D208="","",'Mx FORECAST'!DX146)</f>
        <v>3580812.1757478938</v>
      </c>
      <c r="J208" s="155">
        <f>IF(D208="","",'Mx FORECAST'!DP146)</f>
        <v>0</v>
      </c>
      <c r="K208" s="155">
        <f>IF(D208="","",'Mx FORECAST'!DQ146)</f>
        <v>0</v>
      </c>
      <c r="M208" s="155">
        <f>IF(D208="","",'Mx FORECAST'!DR146)</f>
        <v>0</v>
      </c>
      <c r="O208" s="155">
        <f>IF(D208="","",'Mx FORECAST'!DS146)</f>
        <v>0</v>
      </c>
      <c r="Q208" s="155">
        <f>IF(D208="","",'Mx FORECAST'!DT146)</f>
        <v>0</v>
      </c>
      <c r="S208" s="155">
        <f>IF(D208="","",'Mx FORECAST'!DU146)</f>
        <v>5058375</v>
      </c>
      <c r="U208" s="155">
        <f>IF(D208="","",'Mx FORECAST'!DV146)</f>
        <v>1423380</v>
      </c>
      <c r="W208" s="540">
        <f>IF(D208="","",'Mx FORECAST'!DY146)</f>
        <v>9085771.3242521062</v>
      </c>
      <c r="X208" s="540"/>
      <c r="Y208" s="437">
        <f>IF(D208="","",'Mx FORECAST'!DZ146)</f>
        <v>0.7173024457820143</v>
      </c>
      <c r="AD208" s="155"/>
      <c r="AF208" s="155"/>
      <c r="AH208" s="155"/>
      <c r="AJ208" s="155"/>
      <c r="AK208" s="8"/>
      <c r="AL208" s="8"/>
      <c r="AM208" s="8"/>
      <c r="AN208" s="8"/>
      <c r="AO208" s="8"/>
      <c r="AP208" s="8"/>
      <c r="AQ208" s="8"/>
      <c r="AR208" s="8"/>
      <c r="AS208" s="8"/>
      <c r="AT208" s="8"/>
      <c r="AU208" s="8"/>
      <c r="AV208" s="8"/>
      <c r="AW208" s="8"/>
      <c r="AX208" s="8"/>
      <c r="AY208" s="8"/>
      <c r="AZ208" s="8"/>
      <c r="BZ208" s="9"/>
      <c r="CA208" s="9"/>
      <c r="CB208" s="9"/>
      <c r="DM208" s="44"/>
      <c r="DN208" s="41"/>
      <c r="DO208" s="41"/>
      <c r="DP208" s="41"/>
      <c r="DQ208" s="42"/>
      <c r="DR208" s="42"/>
      <c r="DS208" s="42"/>
      <c r="DT208" s="42"/>
      <c r="DU208" s="42"/>
      <c r="DV208" s="42"/>
      <c r="DW208" s="42"/>
      <c r="DX208" s="42"/>
      <c r="DY208" s="42"/>
      <c r="DZ208" s="43"/>
      <c r="EA208" s="43"/>
      <c r="EB208" s="43"/>
      <c r="EC208" s="43"/>
      <c r="ED208" s="41"/>
      <c r="EE208" s="41"/>
      <c r="EF208" s="41"/>
      <c r="EG208" s="42"/>
      <c r="EH208" s="42"/>
      <c r="EI208" s="42"/>
      <c r="EJ208" s="42"/>
      <c r="EK208" s="42"/>
      <c r="EL208" s="42"/>
      <c r="EM208" s="42"/>
      <c r="EN208" s="42"/>
      <c r="EO208" s="42"/>
      <c r="EP208" s="43"/>
      <c r="EQ208" s="42"/>
      <c r="ER208" s="42"/>
      <c r="ES208" s="42"/>
      <c r="ET208" s="42"/>
      <c r="EU208" s="42"/>
      <c r="EV208" s="42"/>
      <c r="EW208" s="42"/>
      <c r="EX208" s="42"/>
      <c r="EY208" s="43"/>
      <c r="EZ208" s="43"/>
      <c r="FA208" s="43"/>
      <c r="FB208" s="42"/>
      <c r="FC208" s="42"/>
      <c r="FD208" s="41"/>
      <c r="FE208" s="41"/>
      <c r="FF208" s="42"/>
      <c r="FG208" s="42"/>
      <c r="FH208" s="42"/>
      <c r="FI208" s="42"/>
      <c r="FJ208" s="42"/>
      <c r="FN208" s="8"/>
      <c r="FO208" s="8"/>
      <c r="FP208" s="8"/>
      <c r="FQ208" s="8"/>
      <c r="FR208" s="8"/>
      <c r="FS208" s="8"/>
      <c r="FT208" s="8"/>
      <c r="FU208" s="8"/>
      <c r="GD208" s="78" t="str">
        <f t="shared" si="448"/>
        <v/>
      </c>
      <c r="GE208" s="309"/>
      <c r="GF208" s="309"/>
      <c r="GQ208" s="8"/>
    </row>
    <row r="209" spans="3:199" x14ac:dyDescent="0.2">
      <c r="C209" s="426">
        <f t="shared" si="450"/>
        <v>45566</v>
      </c>
      <c r="D209" s="155">
        <f t="shared" si="451"/>
        <v>141</v>
      </c>
      <c r="E209" s="155">
        <f t="shared" si="449"/>
        <v>12666583.5</v>
      </c>
      <c r="F209" s="155"/>
      <c r="G209" s="438">
        <f t="shared" si="452"/>
        <v>163228.55021367522</v>
      </c>
      <c r="I209" s="444">
        <f>IF(D209="","",'Mx FORECAST'!DX147)</f>
        <v>3744040.7259615697</v>
      </c>
      <c r="J209" s="155">
        <f>IF(D209="","",'Mx FORECAST'!DP147)</f>
        <v>0</v>
      </c>
      <c r="K209" s="155">
        <f>IF(D209="","",'Mx FORECAST'!DQ147)</f>
        <v>0</v>
      </c>
      <c r="M209" s="155">
        <f>IF(D209="","",'Mx FORECAST'!DR147)</f>
        <v>0</v>
      </c>
      <c r="O209" s="155">
        <f>IF(D209="","",'Mx FORECAST'!DS147)</f>
        <v>0</v>
      </c>
      <c r="Q209" s="155">
        <f>IF(D209="","",'Mx FORECAST'!DT147)</f>
        <v>0</v>
      </c>
      <c r="S209" s="155">
        <f>IF(D209="","",'Mx FORECAST'!DU147)</f>
        <v>0</v>
      </c>
      <c r="U209" s="155">
        <f>IF(D209="","",'Mx FORECAST'!DV147)</f>
        <v>0</v>
      </c>
      <c r="W209" s="540">
        <f>IF(D209="","",'Mx FORECAST'!DY147)</f>
        <v>8922542.7740384303</v>
      </c>
      <c r="X209" s="540"/>
      <c r="Y209" s="437">
        <f>IF(D209="","",'Mx FORECAST'!DZ147)</f>
        <v>0.70441589668109239</v>
      </c>
      <c r="AD209" s="155"/>
      <c r="AF209" s="155"/>
      <c r="AH209" s="155"/>
      <c r="AJ209" s="155"/>
      <c r="AK209" s="8"/>
      <c r="AL209" s="8"/>
      <c r="AM209" s="8"/>
      <c r="AN209" s="8"/>
      <c r="AO209" s="8"/>
      <c r="AP209" s="8"/>
      <c r="AQ209" s="8"/>
      <c r="AR209" s="8"/>
      <c r="AS209" s="8"/>
      <c r="AT209" s="8"/>
      <c r="AU209" s="8"/>
      <c r="AV209" s="8"/>
      <c r="AW209" s="8"/>
      <c r="AX209" s="8"/>
      <c r="AY209" s="8"/>
      <c r="AZ209" s="8"/>
      <c r="BZ209" s="9"/>
      <c r="CA209" s="9"/>
      <c r="CB209" s="9"/>
      <c r="DM209" s="44"/>
      <c r="DN209" s="41"/>
      <c r="DO209" s="41"/>
      <c r="DP209" s="41"/>
      <c r="DQ209" s="42"/>
      <c r="DR209" s="42"/>
      <c r="DS209" s="42"/>
      <c r="DT209" s="42"/>
      <c r="DU209" s="42"/>
      <c r="DV209" s="42"/>
      <c r="DW209" s="42"/>
      <c r="DX209" s="42"/>
      <c r="DY209" s="42"/>
      <c r="DZ209" s="43"/>
      <c r="EA209" s="43"/>
      <c r="EB209" s="43"/>
      <c r="EC209" s="43"/>
      <c r="ED209" s="41"/>
      <c r="EE209" s="41"/>
      <c r="EF209" s="41"/>
      <c r="EG209" s="42"/>
      <c r="EH209" s="42"/>
      <c r="EI209" s="42"/>
      <c r="EJ209" s="42"/>
      <c r="EK209" s="42"/>
      <c r="EL209" s="42"/>
      <c r="EM209" s="42"/>
      <c r="EN209" s="42"/>
      <c r="EO209" s="42"/>
      <c r="EP209" s="43"/>
      <c r="EQ209" s="42"/>
      <c r="ER209" s="42"/>
      <c r="ES209" s="42"/>
      <c r="ET209" s="42"/>
      <c r="EU209" s="42"/>
      <c r="EV209" s="42"/>
      <c r="EW209" s="42"/>
      <c r="EX209" s="42"/>
      <c r="EY209" s="43"/>
      <c r="EZ209" s="43"/>
      <c r="FA209" s="43"/>
      <c r="FB209" s="42"/>
      <c r="FC209" s="42"/>
      <c r="FD209" s="41"/>
      <c r="FE209" s="41"/>
      <c r="FF209" s="42"/>
      <c r="FG209" s="42"/>
      <c r="FH209" s="42"/>
      <c r="FI209" s="42"/>
      <c r="FJ209" s="42"/>
      <c r="FN209" s="8"/>
      <c r="FO209" s="8"/>
      <c r="FP209" s="8"/>
      <c r="FQ209" s="8"/>
      <c r="FR209" s="8"/>
      <c r="FS209" s="8"/>
      <c r="FT209" s="8"/>
      <c r="FU209" s="8"/>
      <c r="GD209" s="78" t="str">
        <f t="shared" si="448"/>
        <v/>
      </c>
      <c r="GE209" s="309"/>
      <c r="GF209" s="309"/>
      <c r="GQ209" s="8"/>
    </row>
    <row r="210" spans="3:199" x14ac:dyDescent="0.2">
      <c r="C210" s="426">
        <f t="shared" si="450"/>
        <v>45597</v>
      </c>
      <c r="D210" s="155">
        <f t="shared" si="451"/>
        <v>142</v>
      </c>
      <c r="E210" s="155">
        <f t="shared" si="449"/>
        <v>12666583.5</v>
      </c>
      <c r="F210" s="155"/>
      <c r="G210" s="438">
        <f t="shared" si="452"/>
        <v>163228.55021367522</v>
      </c>
      <c r="I210" s="444">
        <f>IF(D210="","",'Mx FORECAST'!DX148)</f>
        <v>3907269.2761752456</v>
      </c>
      <c r="J210" s="155">
        <f>IF(D210="","",'Mx FORECAST'!DP148)</f>
        <v>0</v>
      </c>
      <c r="K210" s="155">
        <f>IF(D210="","",'Mx FORECAST'!DQ148)</f>
        <v>0</v>
      </c>
      <c r="M210" s="155">
        <f>IF(D210="","",'Mx FORECAST'!DR148)</f>
        <v>0</v>
      </c>
      <c r="O210" s="155">
        <f>IF(D210="","",'Mx FORECAST'!DS148)</f>
        <v>0</v>
      </c>
      <c r="Q210" s="155">
        <f>IF(D210="","",'Mx FORECAST'!DT148)</f>
        <v>0</v>
      </c>
      <c r="S210" s="155">
        <f>IF(D210="","",'Mx FORECAST'!DU148)</f>
        <v>0</v>
      </c>
      <c r="U210" s="155">
        <f>IF(D210="","",'Mx FORECAST'!DV148)</f>
        <v>0</v>
      </c>
      <c r="W210" s="540">
        <f>IF(D210="","",'Mx FORECAST'!DY148)</f>
        <v>8759314.2238247544</v>
      </c>
      <c r="X210" s="540"/>
      <c r="Y210" s="437">
        <f>IF(D210="","",'Mx FORECAST'!DZ148)</f>
        <v>0.69152934758017059</v>
      </c>
      <c r="AD210" s="155"/>
      <c r="AF210" s="155"/>
      <c r="AH210" s="155"/>
      <c r="AJ210" s="155"/>
      <c r="AK210" s="8"/>
      <c r="AL210" s="8"/>
      <c r="AM210" s="8"/>
      <c r="AN210" s="8"/>
      <c r="AO210" s="8"/>
      <c r="AP210" s="8"/>
      <c r="AQ210" s="8"/>
      <c r="AR210" s="8"/>
      <c r="AS210" s="8"/>
      <c r="AT210" s="8"/>
      <c r="AU210" s="8"/>
      <c r="AV210" s="8"/>
      <c r="AW210" s="8"/>
      <c r="AX210" s="8"/>
      <c r="AY210" s="8"/>
      <c r="AZ210" s="8"/>
      <c r="BZ210" s="9"/>
      <c r="CA210" s="9"/>
      <c r="CB210" s="9"/>
      <c r="DM210" s="44"/>
      <c r="DN210" s="41"/>
      <c r="DO210" s="41"/>
      <c r="DP210" s="41"/>
      <c r="DQ210" s="42"/>
      <c r="DR210" s="42"/>
      <c r="DS210" s="42"/>
      <c r="DT210" s="42"/>
      <c r="DU210" s="42"/>
      <c r="DV210" s="42"/>
      <c r="DW210" s="42"/>
      <c r="DX210" s="42"/>
      <c r="DY210" s="42"/>
      <c r="DZ210" s="43"/>
      <c r="EA210" s="43"/>
      <c r="EB210" s="43"/>
      <c r="EC210" s="43"/>
      <c r="ED210" s="41"/>
      <c r="EE210" s="41"/>
      <c r="EF210" s="41"/>
      <c r="EG210" s="42"/>
      <c r="EH210" s="42"/>
      <c r="EI210" s="42"/>
      <c r="EJ210" s="42"/>
      <c r="EK210" s="42"/>
      <c r="EL210" s="42"/>
      <c r="EM210" s="42"/>
      <c r="EN210" s="42"/>
      <c r="EO210" s="42"/>
      <c r="EP210" s="43"/>
      <c r="EQ210" s="42"/>
      <c r="ER210" s="42"/>
      <c r="ES210" s="42"/>
      <c r="ET210" s="42"/>
      <c r="EU210" s="42"/>
      <c r="EV210" s="42"/>
      <c r="EW210" s="42"/>
      <c r="EX210" s="42"/>
      <c r="EY210" s="43"/>
      <c r="EZ210" s="43"/>
      <c r="FA210" s="43"/>
      <c r="FB210" s="42"/>
      <c r="FC210" s="42"/>
      <c r="FD210" s="41"/>
      <c r="FE210" s="41"/>
      <c r="FF210" s="42"/>
      <c r="FG210" s="42"/>
      <c r="FH210" s="42"/>
      <c r="FI210" s="42"/>
      <c r="FJ210" s="42"/>
      <c r="FN210" s="8"/>
      <c r="FO210" s="8"/>
      <c r="FP210" s="8"/>
      <c r="FQ210" s="8"/>
      <c r="FR210" s="8"/>
      <c r="FS210" s="8"/>
      <c r="FT210" s="8"/>
      <c r="FU210" s="8"/>
      <c r="GD210" s="78" t="str">
        <f t="shared" si="448"/>
        <v/>
      </c>
      <c r="GE210" s="309"/>
      <c r="GF210" s="309"/>
      <c r="GQ210" s="8"/>
    </row>
    <row r="211" spans="3:199" x14ac:dyDescent="0.2">
      <c r="C211" s="426">
        <f t="shared" si="450"/>
        <v>45627</v>
      </c>
      <c r="D211" s="155">
        <f t="shared" si="451"/>
        <v>143</v>
      </c>
      <c r="E211" s="155">
        <f t="shared" si="449"/>
        <v>12666583.5</v>
      </c>
      <c r="F211" s="155"/>
      <c r="G211" s="438">
        <f t="shared" si="452"/>
        <v>163228.55021367522</v>
      </c>
      <c r="I211" s="444">
        <f>IF(D211="","",'Mx FORECAST'!DX149)</f>
        <v>4070497.8263889216</v>
      </c>
      <c r="J211" s="155">
        <f>IF(D211="","",'Mx FORECAST'!DP149)</f>
        <v>0</v>
      </c>
      <c r="K211" s="155">
        <f>IF(D211="","",'Mx FORECAST'!DQ149)</f>
        <v>0</v>
      </c>
      <c r="M211" s="155">
        <f>IF(D211="","",'Mx FORECAST'!DR149)</f>
        <v>0</v>
      </c>
      <c r="O211" s="155">
        <f>IF(D211="","",'Mx FORECAST'!DS149)</f>
        <v>0</v>
      </c>
      <c r="Q211" s="155">
        <f>IF(D211="","",'Mx FORECAST'!DT149)</f>
        <v>0</v>
      </c>
      <c r="S211" s="155">
        <f>IF(D211="","",'Mx FORECAST'!DU149)</f>
        <v>0</v>
      </c>
      <c r="U211" s="155">
        <f>IF(D211="","",'Mx FORECAST'!DV149)</f>
        <v>0</v>
      </c>
      <c r="W211" s="540">
        <f>IF(D211="","",'Mx FORECAST'!DY149)</f>
        <v>8596085.6736110784</v>
      </c>
      <c r="X211" s="540"/>
      <c r="Y211" s="437">
        <f>IF(D211="","",'Mx FORECAST'!DZ149)</f>
        <v>0.6786427984792488</v>
      </c>
      <c r="AD211" s="155"/>
      <c r="AF211" s="155"/>
      <c r="AH211" s="155"/>
      <c r="AJ211" s="155"/>
      <c r="AK211" s="8"/>
      <c r="AL211" s="8"/>
      <c r="AM211" s="8"/>
      <c r="AN211" s="8"/>
      <c r="AO211" s="8"/>
      <c r="AP211" s="8"/>
      <c r="AQ211" s="8"/>
      <c r="AR211" s="8"/>
      <c r="AS211" s="8"/>
      <c r="AT211" s="8"/>
      <c r="AU211" s="8"/>
      <c r="AV211" s="8"/>
      <c r="AW211" s="8"/>
      <c r="AX211" s="8"/>
      <c r="AY211" s="8"/>
      <c r="AZ211" s="8"/>
      <c r="BZ211" s="9"/>
      <c r="CA211" s="9"/>
      <c r="CB211" s="9"/>
      <c r="DM211" s="44"/>
      <c r="DN211" s="41"/>
      <c r="DO211" s="41"/>
      <c r="DP211" s="41"/>
      <c r="DQ211" s="42"/>
      <c r="DR211" s="42"/>
      <c r="DS211" s="42"/>
      <c r="DT211" s="42"/>
      <c r="DU211" s="42"/>
      <c r="DV211" s="42"/>
      <c r="DW211" s="42"/>
      <c r="DX211" s="42"/>
      <c r="DY211" s="42"/>
      <c r="DZ211" s="43"/>
      <c r="EA211" s="43"/>
      <c r="EB211" s="43"/>
      <c r="EC211" s="43"/>
      <c r="ED211" s="41"/>
      <c r="EE211" s="41"/>
      <c r="EF211" s="41"/>
      <c r="EG211" s="42"/>
      <c r="EH211" s="42"/>
      <c r="EI211" s="42"/>
      <c r="EJ211" s="42"/>
      <c r="EK211" s="42"/>
      <c r="EL211" s="42"/>
      <c r="EM211" s="42"/>
      <c r="EN211" s="42"/>
      <c r="EO211" s="42"/>
      <c r="EP211" s="43"/>
      <c r="EQ211" s="42"/>
      <c r="ER211" s="42"/>
      <c r="ES211" s="42"/>
      <c r="ET211" s="42"/>
      <c r="EU211" s="42"/>
      <c r="EV211" s="42"/>
      <c r="EW211" s="42"/>
      <c r="EX211" s="42"/>
      <c r="EY211" s="43"/>
      <c r="EZ211" s="43"/>
      <c r="FA211" s="43"/>
      <c r="FB211" s="42"/>
      <c r="FC211" s="42"/>
      <c r="FD211" s="41"/>
      <c r="FE211" s="41"/>
      <c r="FF211" s="42"/>
      <c r="FG211" s="42"/>
      <c r="FH211" s="42"/>
      <c r="FI211" s="42"/>
      <c r="FJ211" s="42"/>
      <c r="FN211" s="8"/>
      <c r="FO211" s="8"/>
      <c r="FP211" s="8"/>
      <c r="FQ211" s="8"/>
      <c r="FR211" s="8"/>
      <c r="FS211" s="8"/>
      <c r="FT211" s="8"/>
      <c r="FU211" s="8"/>
      <c r="GD211" s="78" t="str">
        <f t="shared" si="448"/>
        <v/>
      </c>
      <c r="GE211" s="309"/>
      <c r="GF211" s="309"/>
      <c r="GQ211" s="8"/>
    </row>
    <row r="212" spans="3:199" x14ac:dyDescent="0.2">
      <c r="C212" s="426">
        <f t="shared" si="450"/>
        <v>45658</v>
      </c>
      <c r="D212" s="155">
        <f t="shared" si="451"/>
        <v>144</v>
      </c>
      <c r="E212" s="155">
        <f t="shared" si="449"/>
        <v>12666583.5</v>
      </c>
      <c r="F212" s="155"/>
      <c r="G212" s="438">
        <f t="shared" si="452"/>
        <v>163228.55021367522</v>
      </c>
      <c r="I212" s="444">
        <f>IF(D212="","",'Mx FORECAST'!DX150)</f>
        <v>2380292.8766025975</v>
      </c>
      <c r="J212" s="155">
        <f>IF(D212="","",'Mx FORECAST'!DP150)</f>
        <v>264480</v>
      </c>
      <c r="K212" s="155">
        <f>IF(D212="","",'Mx FORECAST'!DQ150)</f>
        <v>686673.49999999988</v>
      </c>
      <c r="M212" s="155">
        <f>IF(D212="","",'Mx FORECAST'!DR150)</f>
        <v>902280</v>
      </c>
      <c r="O212" s="155">
        <f>IF(D212="","",'Mx FORECAST'!DS150)</f>
        <v>0</v>
      </c>
      <c r="Q212" s="155">
        <f>IF(D212="","",'Mx FORECAST'!DT150)</f>
        <v>0</v>
      </c>
      <c r="S212" s="155">
        <f>IF(D212="","",'Mx FORECAST'!DU150)</f>
        <v>0</v>
      </c>
      <c r="U212" s="155">
        <f>IF(D212="","",'Mx FORECAST'!DV150)</f>
        <v>0</v>
      </c>
      <c r="W212" s="540">
        <f>IF(D212="","",'Mx FORECAST'!DY150)</f>
        <v>10286290.623397402</v>
      </c>
      <c r="X212" s="540"/>
      <c r="Y212" s="437">
        <f>IF(D212="","",'Mx FORECAST'!DZ150)</f>
        <v>0.81208090748364803</v>
      </c>
      <c r="AD212" s="155"/>
      <c r="AF212" s="155"/>
      <c r="AH212" s="155"/>
      <c r="AJ212" s="155"/>
      <c r="AK212" s="8"/>
      <c r="AL212" s="8"/>
      <c r="AM212" s="8"/>
      <c r="AN212" s="8"/>
      <c r="AO212" s="8"/>
      <c r="AP212" s="8"/>
      <c r="AQ212" s="8"/>
      <c r="AR212" s="8"/>
      <c r="AS212" s="8"/>
      <c r="AT212" s="8"/>
      <c r="AU212" s="8"/>
      <c r="AV212" s="8"/>
      <c r="AW212" s="8"/>
      <c r="AX212" s="8"/>
      <c r="AY212" s="8"/>
      <c r="AZ212" s="8"/>
      <c r="BZ212" s="9"/>
      <c r="CA212" s="9"/>
      <c r="CB212" s="9"/>
      <c r="DM212" s="44"/>
      <c r="DN212" s="41"/>
      <c r="DO212" s="41"/>
      <c r="DP212" s="41"/>
      <c r="DQ212" s="42"/>
      <c r="DR212" s="42"/>
      <c r="DS212" s="42"/>
      <c r="DT212" s="42"/>
      <c r="DU212" s="42"/>
      <c r="DV212" s="42"/>
      <c r="DW212" s="42"/>
      <c r="DX212" s="42"/>
      <c r="DY212" s="42"/>
      <c r="DZ212" s="43"/>
      <c r="EA212" s="43"/>
      <c r="EB212" s="43"/>
      <c r="EC212" s="43"/>
      <c r="ED212" s="41"/>
      <c r="EE212" s="41"/>
      <c r="EF212" s="41"/>
      <c r="EG212" s="42"/>
      <c r="EH212" s="42"/>
      <c r="EI212" s="42"/>
      <c r="EJ212" s="42"/>
      <c r="EK212" s="42"/>
      <c r="EL212" s="42"/>
      <c r="EM212" s="42"/>
      <c r="EN212" s="42"/>
      <c r="EO212" s="42"/>
      <c r="EP212" s="43"/>
      <c r="EQ212" s="42"/>
      <c r="ER212" s="42"/>
      <c r="ES212" s="42"/>
      <c r="ET212" s="42"/>
      <c r="EU212" s="42"/>
      <c r="EV212" s="42"/>
      <c r="EW212" s="42"/>
      <c r="EX212" s="42"/>
      <c r="EY212" s="43"/>
      <c r="EZ212" s="43"/>
      <c r="FA212" s="43"/>
      <c r="FB212" s="42"/>
      <c r="FC212" s="42"/>
      <c r="FD212" s="41"/>
      <c r="FE212" s="41"/>
      <c r="FF212" s="42"/>
      <c r="FG212" s="42"/>
      <c r="FH212" s="42"/>
      <c r="FI212" s="42"/>
      <c r="FJ212" s="42"/>
      <c r="FN212" s="8"/>
      <c r="FO212" s="8"/>
      <c r="FP212" s="8"/>
      <c r="FQ212" s="8"/>
      <c r="FR212" s="8"/>
      <c r="FS212" s="8"/>
      <c r="FT212" s="8"/>
      <c r="FU212" s="8"/>
      <c r="GD212" s="78" t="str">
        <f t="shared" si="448"/>
        <v/>
      </c>
      <c r="GE212" s="309"/>
      <c r="GF212" s="309"/>
      <c r="GQ212" s="8"/>
    </row>
    <row r="213" spans="3:199" x14ac:dyDescent="0.2">
      <c r="C213" s="426">
        <f t="shared" si="450"/>
        <v>45689</v>
      </c>
      <c r="D213" s="155">
        <f t="shared" si="451"/>
        <v>145</v>
      </c>
      <c r="E213" s="155">
        <f t="shared" si="449"/>
        <v>12759925.5</v>
      </c>
      <c r="F213" s="155"/>
      <c r="G213" s="438">
        <f t="shared" si="452"/>
        <v>161835.09188034188</v>
      </c>
      <c r="I213" s="444">
        <f>IF(D213="","",'Mx FORECAST'!DX151)</f>
        <v>2542127.9684829377</v>
      </c>
      <c r="J213" s="155">
        <f>IF(D213="","",'Mx FORECAST'!DP151)</f>
        <v>0</v>
      </c>
      <c r="K213" s="155">
        <f>IF(D213="","",'Mx FORECAST'!DQ151)</f>
        <v>0</v>
      </c>
      <c r="M213" s="155">
        <f>IF(D213="","",'Mx FORECAST'!DR151)</f>
        <v>0</v>
      </c>
      <c r="O213" s="155">
        <f>IF(D213="","",'Mx FORECAST'!DS151)</f>
        <v>0</v>
      </c>
      <c r="Q213" s="155">
        <f>IF(D213="","",'Mx FORECAST'!DT151)</f>
        <v>0</v>
      </c>
      <c r="S213" s="155">
        <f>IF(D213="","",'Mx FORECAST'!DU151)</f>
        <v>0</v>
      </c>
      <c r="U213" s="155">
        <f>IF(D213="","",'Mx FORECAST'!DV151)</f>
        <v>0</v>
      </c>
      <c r="W213" s="540">
        <f>IF(D213="","",'Mx FORECAST'!DY151)</f>
        <v>10217797.531517062</v>
      </c>
      <c r="X213" s="540"/>
      <c r="Y213" s="437">
        <f>IF(D213="","",'Mx FORECAST'!DZ151)</f>
        <v>0.80077250698031599</v>
      </c>
      <c r="AD213" s="155"/>
      <c r="AF213" s="155"/>
      <c r="AH213" s="155"/>
      <c r="AJ213" s="155"/>
      <c r="AK213" s="8"/>
      <c r="AL213" s="8"/>
      <c r="AM213" s="8"/>
      <c r="AN213" s="8"/>
      <c r="AO213" s="8"/>
      <c r="AP213" s="8"/>
      <c r="AQ213" s="8"/>
      <c r="AR213" s="8"/>
      <c r="AS213" s="8"/>
      <c r="AT213" s="8"/>
      <c r="AU213" s="8"/>
      <c r="AV213" s="8"/>
      <c r="AW213" s="8"/>
      <c r="AX213" s="8"/>
      <c r="AY213" s="8"/>
      <c r="AZ213" s="8"/>
      <c r="BZ213" s="9"/>
      <c r="CA213" s="9"/>
      <c r="CB213" s="9"/>
      <c r="DM213" s="44"/>
      <c r="DN213" s="41"/>
      <c r="DO213" s="41"/>
      <c r="DP213" s="41"/>
      <c r="DQ213" s="42"/>
      <c r="DR213" s="42"/>
      <c r="DS213" s="42"/>
      <c r="DT213" s="42"/>
      <c r="DU213" s="42"/>
      <c r="DV213" s="42"/>
      <c r="DW213" s="42"/>
      <c r="DX213" s="42"/>
      <c r="DY213" s="42"/>
      <c r="DZ213" s="43"/>
      <c r="EA213" s="43"/>
      <c r="EB213" s="43"/>
      <c r="EC213" s="43"/>
      <c r="ED213" s="41"/>
      <c r="EE213" s="41"/>
      <c r="EF213" s="41"/>
      <c r="EG213" s="42"/>
      <c r="EH213" s="42"/>
      <c r="EI213" s="42"/>
      <c r="EJ213" s="42"/>
      <c r="EK213" s="42"/>
      <c r="EL213" s="42"/>
      <c r="EM213" s="42"/>
      <c r="EN213" s="42"/>
      <c r="EO213" s="42"/>
      <c r="EP213" s="43"/>
      <c r="EQ213" s="42"/>
      <c r="ER213" s="42"/>
      <c r="ES213" s="42"/>
      <c r="ET213" s="42"/>
      <c r="EU213" s="42"/>
      <c r="EV213" s="42"/>
      <c r="EW213" s="42"/>
      <c r="EX213" s="42"/>
      <c r="EY213" s="43"/>
      <c r="EZ213" s="43"/>
      <c r="FA213" s="43"/>
      <c r="FB213" s="42"/>
      <c r="FC213" s="42"/>
      <c r="FD213" s="41"/>
      <c r="FE213" s="41"/>
      <c r="FF213" s="42"/>
      <c r="FG213" s="42"/>
      <c r="FH213" s="42"/>
      <c r="FI213" s="42"/>
      <c r="FJ213" s="42"/>
      <c r="FN213" s="8"/>
      <c r="FO213" s="8"/>
      <c r="FP213" s="8"/>
      <c r="FQ213" s="8"/>
      <c r="FR213" s="8"/>
      <c r="FS213" s="8"/>
      <c r="FT213" s="8"/>
      <c r="FU213" s="8"/>
      <c r="GD213" s="78" t="str">
        <f t="shared" si="448"/>
        <v/>
      </c>
      <c r="GE213" s="309"/>
      <c r="GF213" s="309"/>
      <c r="GQ213" s="8"/>
    </row>
    <row r="214" spans="3:199" x14ac:dyDescent="0.2">
      <c r="C214" s="426">
        <f t="shared" si="450"/>
        <v>45717</v>
      </c>
      <c r="D214" s="155">
        <f t="shared" si="451"/>
        <v>146</v>
      </c>
      <c r="E214" s="155">
        <f t="shared" si="449"/>
        <v>12759925.5</v>
      </c>
      <c r="F214" s="155"/>
      <c r="G214" s="438">
        <f t="shared" si="452"/>
        <v>161835.09188034188</v>
      </c>
      <c r="I214" s="444">
        <f>IF(D214="","",'Mx FORECAST'!DX152)</f>
        <v>2703963.0603632778</v>
      </c>
      <c r="J214" s="155">
        <f>IF(D214="","",'Mx FORECAST'!DP152)</f>
        <v>0</v>
      </c>
      <c r="K214" s="155">
        <f>IF(D214="","",'Mx FORECAST'!DQ152)</f>
        <v>0</v>
      </c>
      <c r="M214" s="155">
        <f>IF(D214="","",'Mx FORECAST'!DR152)</f>
        <v>0</v>
      </c>
      <c r="O214" s="155">
        <f>IF(D214="","",'Mx FORECAST'!DS152)</f>
        <v>0</v>
      </c>
      <c r="Q214" s="155">
        <f>IF(D214="","",'Mx FORECAST'!DT152)</f>
        <v>0</v>
      </c>
      <c r="S214" s="155">
        <f>IF(D214="","",'Mx FORECAST'!DU152)</f>
        <v>0</v>
      </c>
      <c r="U214" s="155">
        <f>IF(D214="","",'Mx FORECAST'!DV152)</f>
        <v>0</v>
      </c>
      <c r="W214" s="540">
        <f>IF(D214="","",'Mx FORECAST'!DY152)</f>
        <v>10055962.439636722</v>
      </c>
      <c r="X214" s="540"/>
      <c r="Y214" s="437">
        <f>IF(D214="","",'Mx FORECAST'!DZ152)</f>
        <v>0.7880894319983861</v>
      </c>
      <c r="AD214" s="155"/>
      <c r="AF214" s="155"/>
      <c r="AH214" s="155"/>
      <c r="AJ214" s="155"/>
      <c r="AK214" s="8"/>
      <c r="AL214" s="8"/>
      <c r="AM214" s="8"/>
      <c r="AN214" s="8"/>
      <c r="AO214" s="8"/>
      <c r="AP214" s="8"/>
      <c r="AQ214" s="8"/>
      <c r="AR214" s="8"/>
      <c r="AS214" s="8"/>
      <c r="AT214" s="8"/>
      <c r="AU214" s="8"/>
      <c r="AV214" s="8"/>
      <c r="AW214" s="8"/>
      <c r="AX214" s="8"/>
      <c r="AY214" s="8"/>
      <c r="AZ214" s="8"/>
      <c r="BZ214" s="9"/>
      <c r="CA214" s="9"/>
      <c r="CB214" s="9"/>
      <c r="DM214" s="44"/>
      <c r="DN214" s="41"/>
      <c r="DO214" s="41"/>
      <c r="DP214" s="41"/>
      <c r="DQ214" s="42"/>
      <c r="DR214" s="42"/>
      <c r="DS214" s="42"/>
      <c r="DT214" s="42"/>
      <c r="DU214" s="42"/>
      <c r="DV214" s="42"/>
      <c r="DW214" s="42"/>
      <c r="DX214" s="42"/>
      <c r="DY214" s="42"/>
      <c r="DZ214" s="43"/>
      <c r="EA214" s="43"/>
      <c r="EB214" s="43"/>
      <c r="EC214" s="43"/>
      <c r="ED214" s="41"/>
      <c r="EE214" s="41"/>
      <c r="EF214" s="41"/>
      <c r="EG214" s="42"/>
      <c r="EH214" s="42"/>
      <c r="EI214" s="42"/>
      <c r="EJ214" s="42"/>
      <c r="EK214" s="42"/>
      <c r="EL214" s="42"/>
      <c r="EM214" s="42"/>
      <c r="EN214" s="42"/>
      <c r="EO214" s="42"/>
      <c r="EP214" s="43"/>
      <c r="EQ214" s="42"/>
      <c r="ER214" s="42"/>
      <c r="ES214" s="42"/>
      <c r="ET214" s="42"/>
      <c r="EU214" s="42"/>
      <c r="EV214" s="42"/>
      <c r="EW214" s="42"/>
      <c r="EX214" s="42"/>
      <c r="EY214" s="43"/>
      <c r="EZ214" s="43"/>
      <c r="FA214" s="43"/>
      <c r="FB214" s="42"/>
      <c r="FC214" s="42"/>
      <c r="FD214" s="41"/>
      <c r="FE214" s="41"/>
      <c r="FF214" s="42"/>
      <c r="FG214" s="42"/>
      <c r="FH214" s="42"/>
      <c r="FI214" s="42"/>
      <c r="FJ214" s="42"/>
      <c r="FN214" s="8"/>
      <c r="FO214" s="8"/>
      <c r="FP214" s="8"/>
      <c r="FQ214" s="8"/>
      <c r="FR214" s="8"/>
      <c r="FS214" s="8"/>
      <c r="FT214" s="8"/>
      <c r="FU214" s="8"/>
      <c r="GD214" s="78" t="str">
        <f t="shared" si="448"/>
        <v/>
      </c>
      <c r="GE214" s="309"/>
      <c r="GF214" s="309"/>
      <c r="GQ214" s="8"/>
    </row>
    <row r="215" spans="3:199" x14ac:dyDescent="0.2">
      <c r="C215" s="426">
        <f t="shared" si="450"/>
        <v>45748</v>
      </c>
      <c r="D215" s="155">
        <f t="shared" si="451"/>
        <v>147</v>
      </c>
      <c r="E215" s="155">
        <f t="shared" si="449"/>
        <v>12759925.5</v>
      </c>
      <c r="F215" s="155"/>
      <c r="G215" s="438">
        <f t="shared" si="452"/>
        <v>161835.09188034188</v>
      </c>
      <c r="I215" s="444">
        <f>IF(D215="","",'Mx FORECAST'!DX153)</f>
        <v>2865798.1522436179</v>
      </c>
      <c r="J215" s="155">
        <f>IF(D215="","",'Mx FORECAST'!DP153)</f>
        <v>0</v>
      </c>
      <c r="K215" s="155">
        <f>IF(D215="","",'Mx FORECAST'!DQ153)</f>
        <v>0</v>
      </c>
      <c r="M215" s="155">
        <f>IF(D215="","",'Mx FORECAST'!DR153)</f>
        <v>0</v>
      </c>
      <c r="O215" s="155">
        <f>IF(D215="","",'Mx FORECAST'!DS153)</f>
        <v>0</v>
      </c>
      <c r="Q215" s="155">
        <f>IF(D215="","",'Mx FORECAST'!DT153)</f>
        <v>0</v>
      </c>
      <c r="S215" s="155">
        <f>IF(D215="","",'Mx FORECAST'!DU153)</f>
        <v>0</v>
      </c>
      <c r="U215" s="155">
        <f>IF(D215="","",'Mx FORECAST'!DV153)</f>
        <v>0</v>
      </c>
      <c r="W215" s="540">
        <f>IF(D215="","",'Mx FORECAST'!DY153)</f>
        <v>9894127.3477563821</v>
      </c>
      <c r="X215" s="540"/>
      <c r="Y215" s="437">
        <f>IF(D215="","",'Mx FORECAST'!DZ153)</f>
        <v>0.7754063570164561</v>
      </c>
      <c r="AD215" s="155"/>
      <c r="AF215" s="155"/>
      <c r="AH215" s="155"/>
      <c r="AJ215" s="155"/>
      <c r="AK215" s="8"/>
      <c r="AL215" s="8"/>
      <c r="AM215" s="8"/>
      <c r="AN215" s="8"/>
      <c r="AO215" s="8"/>
      <c r="AP215" s="8"/>
      <c r="AQ215" s="8"/>
      <c r="AR215" s="8"/>
      <c r="AS215" s="8"/>
      <c r="AT215" s="8"/>
      <c r="AU215" s="8"/>
      <c r="AV215" s="8"/>
      <c r="AW215" s="8"/>
      <c r="AX215" s="8"/>
      <c r="AY215" s="8"/>
      <c r="AZ215" s="8"/>
      <c r="BZ215" s="9"/>
      <c r="CA215" s="9"/>
      <c r="CB215" s="9"/>
      <c r="DM215" s="44"/>
      <c r="DN215" s="41"/>
      <c r="DO215" s="41"/>
      <c r="DP215" s="41"/>
      <c r="DQ215" s="42"/>
      <c r="DR215" s="42"/>
      <c r="DS215" s="42"/>
      <c r="DT215" s="42"/>
      <c r="DU215" s="42"/>
      <c r="DV215" s="42"/>
      <c r="DW215" s="42"/>
      <c r="DX215" s="42"/>
      <c r="DY215" s="42"/>
      <c r="DZ215" s="43"/>
      <c r="EA215" s="43"/>
      <c r="EB215" s="43"/>
      <c r="EC215" s="43"/>
      <c r="ED215" s="41"/>
      <c r="EE215" s="41"/>
      <c r="EF215" s="41"/>
      <c r="EG215" s="42"/>
      <c r="EH215" s="42"/>
      <c r="EI215" s="42"/>
      <c r="EJ215" s="42"/>
      <c r="EK215" s="42"/>
      <c r="EL215" s="42"/>
      <c r="EM215" s="42"/>
      <c r="EN215" s="42"/>
      <c r="EO215" s="42"/>
      <c r="EP215" s="43"/>
      <c r="EQ215" s="42"/>
      <c r="ER215" s="42"/>
      <c r="ES215" s="42"/>
      <c r="ET215" s="42"/>
      <c r="EU215" s="42"/>
      <c r="EV215" s="42"/>
      <c r="EW215" s="42"/>
      <c r="EX215" s="42"/>
      <c r="EY215" s="43"/>
      <c r="EZ215" s="43"/>
      <c r="FA215" s="43"/>
      <c r="FB215" s="42"/>
      <c r="FC215" s="42"/>
      <c r="FD215" s="41"/>
      <c r="FE215" s="41"/>
      <c r="FF215" s="42"/>
      <c r="FG215" s="42"/>
      <c r="FH215" s="42"/>
      <c r="FI215" s="42"/>
      <c r="FJ215" s="42"/>
      <c r="FN215" s="8"/>
      <c r="FO215" s="8"/>
      <c r="FP215" s="8"/>
      <c r="FQ215" s="8"/>
      <c r="FR215" s="8"/>
      <c r="FS215" s="8"/>
      <c r="FT215" s="8"/>
      <c r="FU215" s="8"/>
      <c r="GD215" s="78" t="str">
        <f t="shared" si="448"/>
        <v/>
      </c>
      <c r="GE215" s="309"/>
      <c r="GF215" s="309"/>
      <c r="GQ215" s="8"/>
    </row>
    <row r="216" spans="3:199" x14ac:dyDescent="0.2">
      <c r="C216" s="426">
        <f t="shared" si="450"/>
        <v>45778</v>
      </c>
      <c r="D216" s="155">
        <f t="shared" si="451"/>
        <v>148</v>
      </c>
      <c r="E216" s="155">
        <f t="shared" si="449"/>
        <v>12759925.5</v>
      </c>
      <c r="F216" s="155"/>
      <c r="G216" s="438">
        <f t="shared" si="452"/>
        <v>161835.09188034188</v>
      </c>
      <c r="I216" s="444">
        <f>IF(D216="","",'Mx FORECAST'!DX154)</f>
        <v>3027633.2441239581</v>
      </c>
      <c r="J216" s="155">
        <f>IF(D216="","",'Mx FORECAST'!DP154)</f>
        <v>0</v>
      </c>
      <c r="K216" s="155">
        <f>IF(D216="","",'Mx FORECAST'!DQ154)</f>
        <v>0</v>
      </c>
      <c r="M216" s="155">
        <f>IF(D216="","",'Mx FORECAST'!DR154)</f>
        <v>0</v>
      </c>
      <c r="O216" s="155">
        <f>IF(D216="","",'Mx FORECAST'!DS154)</f>
        <v>0</v>
      </c>
      <c r="Q216" s="155">
        <f>IF(D216="","",'Mx FORECAST'!DT154)</f>
        <v>0</v>
      </c>
      <c r="S216" s="155">
        <f>IF(D216="","",'Mx FORECAST'!DU154)</f>
        <v>0</v>
      </c>
      <c r="U216" s="155">
        <f>IF(D216="","",'Mx FORECAST'!DV154)</f>
        <v>0</v>
      </c>
      <c r="W216" s="540">
        <f>IF(D216="","",'Mx FORECAST'!DY154)</f>
        <v>9732292.2558760419</v>
      </c>
      <c r="X216" s="540"/>
      <c r="Y216" s="437">
        <f>IF(D216="","",'Mx FORECAST'!DZ154)</f>
        <v>0.76272328203452611</v>
      </c>
      <c r="AD216" s="155"/>
      <c r="AF216" s="155"/>
      <c r="AH216" s="155"/>
      <c r="AJ216" s="155"/>
      <c r="AK216" s="8"/>
      <c r="AL216" s="8"/>
      <c r="AM216" s="8"/>
      <c r="AN216" s="8"/>
      <c r="AO216" s="8"/>
      <c r="AP216" s="8"/>
      <c r="AQ216" s="8"/>
      <c r="AR216" s="8"/>
      <c r="AS216" s="8"/>
      <c r="AT216" s="8"/>
      <c r="AU216" s="8"/>
      <c r="AV216" s="8"/>
      <c r="AW216" s="8"/>
      <c r="AX216" s="8"/>
      <c r="AY216" s="8"/>
      <c r="AZ216" s="8"/>
      <c r="BZ216" s="9"/>
      <c r="CA216" s="9"/>
      <c r="CB216" s="9"/>
      <c r="DM216" s="44"/>
      <c r="DN216" s="41"/>
      <c r="DO216" s="41"/>
      <c r="DP216" s="41"/>
      <c r="DQ216" s="42"/>
      <c r="DR216" s="42"/>
      <c r="DS216" s="42"/>
      <c r="DT216" s="42"/>
      <c r="DU216" s="42"/>
      <c r="DV216" s="42"/>
      <c r="DW216" s="42"/>
      <c r="DX216" s="42"/>
      <c r="DY216" s="42"/>
      <c r="DZ216" s="43"/>
      <c r="EA216" s="43"/>
      <c r="EB216" s="43"/>
      <c r="EC216" s="43"/>
      <c r="ED216" s="41"/>
      <c r="EE216" s="41"/>
      <c r="EF216" s="41"/>
      <c r="EG216" s="42"/>
      <c r="EH216" s="42"/>
      <c r="EI216" s="42"/>
      <c r="EJ216" s="42"/>
      <c r="EK216" s="42"/>
      <c r="EL216" s="42"/>
      <c r="EM216" s="42"/>
      <c r="EN216" s="42"/>
      <c r="EO216" s="42"/>
      <c r="EP216" s="43"/>
      <c r="EQ216" s="42"/>
      <c r="ER216" s="42"/>
      <c r="ES216" s="42"/>
      <c r="ET216" s="42"/>
      <c r="EU216" s="42"/>
      <c r="EV216" s="42"/>
      <c r="EW216" s="42"/>
      <c r="EX216" s="42"/>
      <c r="EY216" s="43"/>
      <c r="EZ216" s="43"/>
      <c r="FA216" s="43"/>
      <c r="FB216" s="42"/>
      <c r="FC216" s="42"/>
      <c r="FD216" s="41"/>
      <c r="FE216" s="41"/>
      <c r="FF216" s="42"/>
      <c r="FG216" s="42"/>
      <c r="FH216" s="42"/>
      <c r="FI216" s="42"/>
      <c r="FJ216" s="42"/>
      <c r="FN216" s="8"/>
      <c r="FO216" s="8"/>
      <c r="FP216" s="8"/>
      <c r="FQ216" s="8"/>
      <c r="FR216" s="8"/>
      <c r="FS216" s="8"/>
      <c r="FT216" s="8"/>
      <c r="FU216" s="8"/>
      <c r="GD216" s="78" t="str">
        <f t="shared" si="448"/>
        <v/>
      </c>
      <c r="GE216" s="309"/>
      <c r="GF216" s="309"/>
      <c r="GQ216" s="8"/>
    </row>
    <row r="217" spans="3:199" x14ac:dyDescent="0.2">
      <c r="C217" s="426">
        <f t="shared" si="450"/>
        <v>45809</v>
      </c>
      <c r="D217" s="155">
        <f t="shared" si="451"/>
        <v>149</v>
      </c>
      <c r="E217" s="155">
        <f t="shared" si="449"/>
        <v>12759925.5</v>
      </c>
      <c r="F217" s="155"/>
      <c r="G217" s="438">
        <f t="shared" si="452"/>
        <v>161835.09188034188</v>
      </c>
      <c r="I217" s="444">
        <f>IF(D217="","",'Mx FORECAST'!DX155)</f>
        <v>3189468.3360042982</v>
      </c>
      <c r="J217" s="155">
        <f>IF(D217="","",'Mx FORECAST'!DP155)</f>
        <v>0</v>
      </c>
      <c r="K217" s="155">
        <f>IF(D217="","",'Mx FORECAST'!DQ155)</f>
        <v>0</v>
      </c>
      <c r="M217" s="155">
        <f>IF(D217="","",'Mx FORECAST'!DR155)</f>
        <v>0</v>
      </c>
      <c r="O217" s="155">
        <f>IF(D217="","",'Mx FORECAST'!DS155)</f>
        <v>0</v>
      </c>
      <c r="Q217" s="155">
        <f>IF(D217="","",'Mx FORECAST'!DT155)</f>
        <v>0</v>
      </c>
      <c r="S217" s="155">
        <f>IF(D217="","",'Mx FORECAST'!DU155)</f>
        <v>0</v>
      </c>
      <c r="U217" s="155">
        <f>IF(D217="","",'Mx FORECAST'!DV155)</f>
        <v>0</v>
      </c>
      <c r="W217" s="540">
        <f>IF(D217="","",'Mx FORECAST'!DY155)</f>
        <v>9570457.1639957018</v>
      </c>
      <c r="X217" s="540"/>
      <c r="Y217" s="437">
        <f>IF(D217="","",'Mx FORECAST'!DZ155)</f>
        <v>0.75004020705259622</v>
      </c>
      <c r="AD217" s="155"/>
      <c r="AF217" s="155"/>
      <c r="AH217" s="155"/>
      <c r="AJ217" s="155"/>
      <c r="AK217" s="8"/>
      <c r="AL217" s="8"/>
      <c r="AM217" s="8"/>
      <c r="AN217" s="8"/>
      <c r="AO217" s="8"/>
      <c r="AP217" s="8"/>
      <c r="AQ217" s="8"/>
      <c r="AR217" s="8"/>
      <c r="AS217" s="8"/>
      <c r="AT217" s="8"/>
      <c r="AU217" s="8"/>
      <c r="AV217" s="8"/>
      <c r="AW217" s="8"/>
      <c r="AX217" s="8"/>
      <c r="AY217" s="8"/>
      <c r="AZ217" s="8"/>
      <c r="BZ217" s="9"/>
      <c r="CA217" s="9"/>
      <c r="CB217" s="9"/>
      <c r="DM217" s="44"/>
      <c r="DN217" s="41"/>
      <c r="DO217" s="41"/>
      <c r="DP217" s="41"/>
      <c r="DQ217" s="42"/>
      <c r="DR217" s="42"/>
      <c r="DS217" s="42"/>
      <c r="DT217" s="42"/>
      <c r="DU217" s="42"/>
      <c r="DV217" s="42"/>
      <c r="DW217" s="42"/>
      <c r="DX217" s="42"/>
      <c r="DY217" s="42"/>
      <c r="DZ217" s="43"/>
      <c r="EA217" s="43"/>
      <c r="EB217" s="43"/>
      <c r="EC217" s="43"/>
      <c r="ED217" s="41"/>
      <c r="EE217" s="41"/>
      <c r="EF217" s="41"/>
      <c r="EG217" s="42"/>
      <c r="EH217" s="42"/>
      <c r="EI217" s="42"/>
      <c r="EJ217" s="42"/>
      <c r="EK217" s="42"/>
      <c r="EL217" s="42"/>
      <c r="EM217" s="42"/>
      <c r="EN217" s="42"/>
      <c r="EO217" s="42"/>
      <c r="EP217" s="43"/>
      <c r="EQ217" s="42"/>
      <c r="ER217" s="42"/>
      <c r="ES217" s="42"/>
      <c r="ET217" s="42"/>
      <c r="EU217" s="42"/>
      <c r="EV217" s="42"/>
      <c r="EW217" s="42"/>
      <c r="EX217" s="42"/>
      <c r="EY217" s="43"/>
      <c r="EZ217" s="43"/>
      <c r="FA217" s="43"/>
      <c r="FB217" s="42"/>
      <c r="FC217" s="42"/>
      <c r="FD217" s="41"/>
      <c r="FE217" s="41"/>
      <c r="FF217" s="42"/>
      <c r="FG217" s="42"/>
      <c r="FH217" s="42"/>
      <c r="FI217" s="42"/>
      <c r="FJ217" s="42"/>
      <c r="FN217" s="8"/>
      <c r="FO217" s="8"/>
      <c r="FP217" s="8"/>
      <c r="FQ217" s="8"/>
      <c r="FR217" s="8"/>
      <c r="FS217" s="8"/>
      <c r="FT217" s="8"/>
      <c r="FU217" s="8"/>
      <c r="GD217" s="78" t="str">
        <f t="shared" si="448"/>
        <v/>
      </c>
      <c r="GE217" s="309"/>
      <c r="GF217" s="309"/>
      <c r="GQ217" s="8"/>
    </row>
    <row r="218" spans="3:199" x14ac:dyDescent="0.2">
      <c r="C218" s="426">
        <f t="shared" si="450"/>
        <v>45839</v>
      </c>
      <c r="D218" s="155">
        <f t="shared" si="451"/>
        <v>150</v>
      </c>
      <c r="E218" s="155">
        <f t="shared" si="449"/>
        <v>12759925.5</v>
      </c>
      <c r="F218" s="155"/>
      <c r="G218" s="438">
        <f t="shared" si="452"/>
        <v>161835.09188034188</v>
      </c>
      <c r="I218" s="444">
        <f>IF(D218="","",'Mx FORECAST'!DX156)</f>
        <v>3351303.4278846383</v>
      </c>
      <c r="J218" s="155">
        <f>IF(D218="","",'Mx FORECAST'!DP156)</f>
        <v>0</v>
      </c>
      <c r="K218" s="155">
        <f>IF(D218="","",'Mx FORECAST'!DQ156)</f>
        <v>0</v>
      </c>
      <c r="M218" s="155">
        <f>IF(D218="","",'Mx FORECAST'!DR156)</f>
        <v>0</v>
      </c>
      <c r="O218" s="155">
        <f>IF(D218="","",'Mx FORECAST'!DS156)</f>
        <v>0</v>
      </c>
      <c r="Q218" s="155">
        <f>IF(D218="","",'Mx FORECAST'!DT156)</f>
        <v>0</v>
      </c>
      <c r="S218" s="155">
        <f>IF(D218="","",'Mx FORECAST'!DU156)</f>
        <v>0</v>
      </c>
      <c r="U218" s="155">
        <f>IF(D218="","",'Mx FORECAST'!DV156)</f>
        <v>0</v>
      </c>
      <c r="W218" s="540">
        <f>IF(D218="","",'Mx FORECAST'!DY156)</f>
        <v>9408622.0721153617</v>
      </c>
      <c r="X218" s="540"/>
      <c r="Y218" s="437">
        <f>IF(D218="","",'Mx FORECAST'!DZ156)</f>
        <v>0.73735713207066622</v>
      </c>
      <c r="AD218" s="155"/>
      <c r="AF218" s="155"/>
      <c r="AH218" s="155"/>
      <c r="AJ218" s="155"/>
      <c r="AK218" s="8"/>
      <c r="AL218" s="8"/>
      <c r="AM218" s="8"/>
      <c r="AN218" s="8"/>
      <c r="AO218" s="8"/>
      <c r="AP218" s="8"/>
      <c r="AQ218" s="8"/>
      <c r="AR218" s="8"/>
      <c r="AS218" s="8"/>
      <c r="AT218" s="8"/>
      <c r="AU218" s="8"/>
      <c r="AV218" s="8"/>
      <c r="AW218" s="8"/>
      <c r="AX218" s="8"/>
      <c r="AY218" s="8"/>
      <c r="AZ218" s="8"/>
      <c r="BZ218" s="9"/>
      <c r="CA218" s="9"/>
      <c r="CB218" s="9"/>
      <c r="DM218" s="44"/>
      <c r="DN218" s="41"/>
      <c r="DO218" s="41"/>
      <c r="DP218" s="41"/>
      <c r="DQ218" s="42"/>
      <c r="DR218" s="42"/>
      <c r="DS218" s="42"/>
      <c r="DT218" s="42"/>
      <c r="DU218" s="42"/>
      <c r="DV218" s="42"/>
      <c r="DW218" s="42"/>
      <c r="DX218" s="42"/>
      <c r="DY218" s="42"/>
      <c r="DZ218" s="43"/>
      <c r="EA218" s="43"/>
      <c r="EB218" s="43"/>
      <c r="EC218" s="43"/>
      <c r="ED218" s="41"/>
      <c r="EE218" s="41"/>
      <c r="EF218" s="41"/>
      <c r="EG218" s="42"/>
      <c r="EH218" s="42"/>
      <c r="EI218" s="42"/>
      <c r="EJ218" s="42"/>
      <c r="EK218" s="42"/>
      <c r="EL218" s="42"/>
      <c r="EM218" s="42"/>
      <c r="EN218" s="42"/>
      <c r="EO218" s="42"/>
      <c r="EP218" s="43"/>
      <c r="EQ218" s="42"/>
      <c r="ER218" s="42"/>
      <c r="ES218" s="42"/>
      <c r="ET218" s="42"/>
      <c r="EU218" s="42"/>
      <c r="EV218" s="42"/>
      <c r="EW218" s="42"/>
      <c r="EX218" s="42"/>
      <c r="EY218" s="43"/>
      <c r="EZ218" s="43"/>
      <c r="FA218" s="43"/>
      <c r="FB218" s="42"/>
      <c r="FC218" s="42"/>
      <c r="FD218" s="41"/>
      <c r="FE218" s="41"/>
      <c r="FF218" s="42"/>
      <c r="FG218" s="42"/>
      <c r="FH218" s="42"/>
      <c r="FI218" s="42"/>
      <c r="FJ218" s="42"/>
      <c r="FN218" s="8"/>
      <c r="FO218" s="8"/>
      <c r="FP218" s="8"/>
      <c r="FQ218" s="8"/>
      <c r="FR218" s="8"/>
      <c r="FS218" s="8"/>
      <c r="FT218" s="8"/>
      <c r="FU218" s="8"/>
      <c r="GD218" s="78" t="str">
        <f t="shared" ref="GD218:GD245" si="453">IF(DM219="","",SUM(DQ219:DV219))</f>
        <v/>
      </c>
      <c r="GE218" s="309"/>
      <c r="GF218" s="309"/>
      <c r="GQ218" s="8"/>
    </row>
    <row r="219" spans="3:199" x14ac:dyDescent="0.2">
      <c r="C219" s="426">
        <f t="shared" si="450"/>
        <v>45870</v>
      </c>
      <c r="D219" s="155">
        <f t="shared" si="451"/>
        <v>151</v>
      </c>
      <c r="E219" s="155">
        <f t="shared" si="449"/>
        <v>12759925.5</v>
      </c>
      <c r="F219" s="155"/>
      <c r="G219" s="438">
        <f t="shared" si="452"/>
        <v>161835.09188034188</v>
      </c>
      <c r="I219" s="444">
        <f>IF(D219="","",'Mx FORECAST'!DX157)</f>
        <v>3513138.5197649784</v>
      </c>
      <c r="J219" s="155">
        <f>IF(D219="","",'Mx FORECAST'!DP157)</f>
        <v>0</v>
      </c>
      <c r="K219" s="155">
        <f>IF(D219="","",'Mx FORECAST'!DQ157)</f>
        <v>0</v>
      </c>
      <c r="M219" s="155">
        <f>IF(D219="","",'Mx FORECAST'!DR157)</f>
        <v>0</v>
      </c>
      <c r="O219" s="155">
        <f>IF(D219="","",'Mx FORECAST'!DS157)</f>
        <v>0</v>
      </c>
      <c r="Q219" s="155">
        <f>IF(D219="","",'Mx FORECAST'!DT157)</f>
        <v>0</v>
      </c>
      <c r="S219" s="155">
        <f>IF(D219="","",'Mx FORECAST'!DU157)</f>
        <v>0</v>
      </c>
      <c r="U219" s="155">
        <f>IF(D219="","",'Mx FORECAST'!DV157)</f>
        <v>0</v>
      </c>
      <c r="W219" s="540">
        <f>IF(D219="","",'Mx FORECAST'!DY157)</f>
        <v>9246786.9802350216</v>
      </c>
      <c r="X219" s="540"/>
      <c r="Y219" s="437">
        <f>IF(D219="","",'Mx FORECAST'!DZ157)</f>
        <v>0.72467405708873622</v>
      </c>
      <c r="AD219" s="155"/>
      <c r="AF219" s="155"/>
      <c r="AH219" s="155"/>
      <c r="AJ219" s="155"/>
      <c r="AK219" s="8"/>
      <c r="AL219" s="8"/>
      <c r="AM219" s="8"/>
      <c r="AN219" s="8"/>
      <c r="AO219" s="8"/>
      <c r="AP219" s="8"/>
      <c r="AQ219" s="8"/>
      <c r="AR219" s="8"/>
      <c r="AS219" s="8"/>
      <c r="AT219" s="8"/>
      <c r="AU219" s="8"/>
      <c r="AV219" s="8"/>
      <c r="AW219" s="8"/>
      <c r="AX219" s="8"/>
      <c r="AY219" s="8"/>
      <c r="AZ219" s="8"/>
      <c r="BZ219" s="9"/>
      <c r="CA219" s="9"/>
      <c r="CB219" s="9"/>
      <c r="DM219" s="44"/>
      <c r="DN219" s="41"/>
      <c r="DO219" s="41"/>
      <c r="DP219" s="41"/>
      <c r="DQ219" s="42"/>
      <c r="DR219" s="42"/>
      <c r="DS219" s="42"/>
      <c r="DT219" s="42"/>
      <c r="DU219" s="42"/>
      <c r="DV219" s="42"/>
      <c r="DW219" s="42"/>
      <c r="DX219" s="42"/>
      <c r="DY219" s="42"/>
      <c r="DZ219" s="43"/>
      <c r="EA219" s="43"/>
      <c r="EB219" s="43"/>
      <c r="EC219" s="43"/>
      <c r="ED219" s="41"/>
      <c r="EE219" s="41"/>
      <c r="EF219" s="41"/>
      <c r="EG219" s="42"/>
      <c r="EH219" s="42"/>
      <c r="EI219" s="42"/>
      <c r="EJ219" s="42"/>
      <c r="EK219" s="42"/>
      <c r="EL219" s="42"/>
      <c r="EM219" s="42"/>
      <c r="EN219" s="42"/>
      <c r="EO219" s="42"/>
      <c r="EP219" s="43"/>
      <c r="EQ219" s="42"/>
      <c r="ER219" s="42"/>
      <c r="ES219" s="42"/>
      <c r="ET219" s="42"/>
      <c r="EU219" s="42"/>
      <c r="EV219" s="42"/>
      <c r="EW219" s="42"/>
      <c r="EX219" s="42"/>
      <c r="EY219" s="43"/>
      <c r="EZ219" s="43"/>
      <c r="FA219" s="43"/>
      <c r="FB219" s="42"/>
      <c r="FC219" s="42"/>
      <c r="FD219" s="41"/>
      <c r="FE219" s="41"/>
      <c r="FF219" s="42"/>
      <c r="FG219" s="42"/>
      <c r="FH219" s="42"/>
      <c r="FI219" s="42"/>
      <c r="FJ219" s="42"/>
      <c r="FN219" s="8"/>
      <c r="FO219" s="8"/>
      <c r="FP219" s="8"/>
      <c r="FQ219" s="8"/>
      <c r="FR219" s="8"/>
      <c r="FS219" s="8"/>
      <c r="FT219" s="8"/>
      <c r="FU219" s="8"/>
      <c r="GD219" s="78" t="str">
        <f t="shared" si="453"/>
        <v/>
      </c>
      <c r="GE219" s="309"/>
      <c r="GF219" s="309"/>
      <c r="GQ219" s="8"/>
    </row>
    <row r="220" spans="3:199" x14ac:dyDescent="0.2">
      <c r="C220" s="426">
        <f t="shared" si="450"/>
        <v>45901</v>
      </c>
      <c r="D220" s="155">
        <f t="shared" si="451"/>
        <v>152</v>
      </c>
      <c r="E220" s="155">
        <f t="shared" si="449"/>
        <v>12759925.5</v>
      </c>
      <c r="F220" s="155"/>
      <c r="G220" s="438">
        <f t="shared" si="452"/>
        <v>161835.09188034188</v>
      </c>
      <c r="I220" s="444">
        <f>IF(D220="","",'Mx FORECAST'!DX158)</f>
        <v>3674973.6116453186</v>
      </c>
      <c r="J220" s="155">
        <f>IF(D220="","",'Mx FORECAST'!DP158)</f>
        <v>0</v>
      </c>
      <c r="K220" s="155">
        <f>IF(D220="","",'Mx FORECAST'!DQ158)</f>
        <v>0</v>
      </c>
      <c r="M220" s="155">
        <f>IF(D220="","",'Mx FORECAST'!DR158)</f>
        <v>0</v>
      </c>
      <c r="O220" s="155">
        <f>IF(D220="","",'Mx FORECAST'!DS158)</f>
        <v>0</v>
      </c>
      <c r="Q220" s="155">
        <f>IF(D220="","",'Mx FORECAST'!DT158)</f>
        <v>0</v>
      </c>
      <c r="S220" s="155">
        <f>IF(D220="","",'Mx FORECAST'!DU158)</f>
        <v>0</v>
      </c>
      <c r="U220" s="155">
        <f>IF(D220="","",'Mx FORECAST'!DV158)</f>
        <v>0</v>
      </c>
      <c r="W220" s="540">
        <f>IF(D220="","",'Mx FORECAST'!DY158)</f>
        <v>9084951.8883546814</v>
      </c>
      <c r="X220" s="540"/>
      <c r="Y220" s="437">
        <f>IF(D220="","",'Mx FORECAST'!DZ158)</f>
        <v>0.71199098210680634</v>
      </c>
      <c r="AD220" s="155"/>
      <c r="AF220" s="155"/>
      <c r="AH220" s="155"/>
      <c r="AJ220" s="155"/>
      <c r="AK220" s="8"/>
      <c r="AL220" s="8"/>
      <c r="AM220" s="8"/>
      <c r="AN220" s="8"/>
      <c r="AO220" s="8"/>
      <c r="AP220" s="8"/>
      <c r="AQ220" s="8"/>
      <c r="AR220" s="8"/>
      <c r="AS220" s="8"/>
      <c r="AT220" s="8"/>
      <c r="AU220" s="8"/>
      <c r="AV220" s="8"/>
      <c r="AW220" s="8"/>
      <c r="AX220" s="8"/>
      <c r="AY220" s="8"/>
      <c r="AZ220" s="8"/>
      <c r="BZ220" s="9"/>
      <c r="CA220" s="9"/>
      <c r="CB220" s="9"/>
      <c r="DM220" s="44"/>
      <c r="DN220" s="41"/>
      <c r="DO220" s="41"/>
      <c r="DP220" s="41"/>
      <c r="DQ220" s="42"/>
      <c r="DR220" s="42"/>
      <c r="DS220" s="42"/>
      <c r="DT220" s="42"/>
      <c r="DU220" s="42"/>
      <c r="DV220" s="42"/>
      <c r="DW220" s="42"/>
      <c r="DX220" s="42"/>
      <c r="DY220" s="42"/>
      <c r="DZ220" s="43"/>
      <c r="EA220" s="43"/>
      <c r="EB220" s="43"/>
      <c r="EC220" s="43"/>
      <c r="ED220" s="41"/>
      <c r="EE220" s="41"/>
      <c r="EF220" s="41"/>
      <c r="EG220" s="42"/>
      <c r="EH220" s="42"/>
      <c r="EI220" s="42"/>
      <c r="EJ220" s="42"/>
      <c r="EK220" s="42"/>
      <c r="EL220" s="42"/>
      <c r="EM220" s="42"/>
      <c r="EN220" s="42"/>
      <c r="EO220" s="42"/>
      <c r="EP220" s="43"/>
      <c r="EQ220" s="42"/>
      <c r="ER220" s="42"/>
      <c r="ES220" s="42"/>
      <c r="ET220" s="42"/>
      <c r="EU220" s="42"/>
      <c r="EV220" s="42"/>
      <c r="EW220" s="42"/>
      <c r="EX220" s="42"/>
      <c r="EY220" s="43"/>
      <c r="EZ220" s="43"/>
      <c r="FA220" s="43"/>
      <c r="FB220" s="42"/>
      <c r="FC220" s="42"/>
      <c r="FD220" s="41"/>
      <c r="FE220" s="41"/>
      <c r="FF220" s="42"/>
      <c r="FG220" s="42"/>
      <c r="FH220" s="42"/>
      <c r="FI220" s="42"/>
      <c r="FJ220" s="42"/>
      <c r="FN220" s="8"/>
      <c r="FO220" s="8"/>
      <c r="FP220" s="8"/>
      <c r="FQ220" s="8"/>
      <c r="FR220" s="8"/>
      <c r="FS220" s="8"/>
      <c r="FT220" s="8"/>
      <c r="FU220" s="8"/>
      <c r="GD220" s="78" t="str">
        <f t="shared" si="453"/>
        <v/>
      </c>
      <c r="GE220" s="309"/>
      <c r="GF220" s="309"/>
      <c r="GQ220" s="8"/>
    </row>
    <row r="221" spans="3:199" x14ac:dyDescent="0.2">
      <c r="C221" s="426">
        <f t="shared" si="450"/>
        <v>45931</v>
      </c>
      <c r="D221" s="155">
        <f t="shared" si="451"/>
        <v>153</v>
      </c>
      <c r="E221" s="155">
        <f t="shared" si="449"/>
        <v>12759925.5</v>
      </c>
      <c r="F221" s="155"/>
      <c r="G221" s="438">
        <f t="shared" si="452"/>
        <v>161835.09188034188</v>
      </c>
      <c r="I221" s="444">
        <f>IF(D221="","",'Mx FORECAST'!DX159)</f>
        <v>3836808.7035256587</v>
      </c>
      <c r="J221" s="155">
        <f>IF(D221="","",'Mx FORECAST'!DP159)</f>
        <v>0</v>
      </c>
      <c r="K221" s="155">
        <f>IF(D221="","",'Mx FORECAST'!DQ159)</f>
        <v>0</v>
      </c>
      <c r="M221" s="155">
        <f>IF(D221="","",'Mx FORECAST'!DR159)</f>
        <v>0</v>
      </c>
      <c r="O221" s="155">
        <f>IF(D221="","",'Mx FORECAST'!DS159)</f>
        <v>0</v>
      </c>
      <c r="Q221" s="155">
        <f>IF(D221="","",'Mx FORECAST'!DT159)</f>
        <v>0</v>
      </c>
      <c r="S221" s="155">
        <f>IF(D221="","",'Mx FORECAST'!DU159)</f>
        <v>0</v>
      </c>
      <c r="U221" s="155">
        <f>IF(D221="","",'Mx FORECAST'!DV159)</f>
        <v>0</v>
      </c>
      <c r="W221" s="540">
        <f>IF(D221="","",'Mx FORECAST'!DY159)</f>
        <v>8923116.7964743413</v>
      </c>
      <c r="X221" s="540"/>
      <c r="Y221" s="437">
        <f>IF(D221="","",'Mx FORECAST'!DZ159)</f>
        <v>0.69930790712487634</v>
      </c>
      <c r="AD221" s="155"/>
      <c r="AF221" s="155"/>
      <c r="AH221" s="155"/>
      <c r="AJ221" s="155"/>
      <c r="AK221" s="8"/>
      <c r="AL221" s="8"/>
      <c r="AM221" s="8"/>
      <c r="AN221" s="8"/>
      <c r="AO221" s="8"/>
      <c r="AP221" s="8"/>
      <c r="AQ221" s="8"/>
      <c r="AR221" s="8"/>
      <c r="AS221" s="8"/>
      <c r="AT221" s="8"/>
      <c r="AU221" s="8"/>
      <c r="AV221" s="8"/>
      <c r="AW221" s="8"/>
      <c r="AX221" s="8"/>
      <c r="AY221" s="8"/>
      <c r="AZ221" s="8"/>
      <c r="BZ221" s="9"/>
      <c r="CA221" s="9"/>
      <c r="CB221" s="9"/>
      <c r="DM221" s="44"/>
      <c r="DN221" s="41"/>
      <c r="DO221" s="41"/>
      <c r="DP221" s="41"/>
      <c r="DQ221" s="42"/>
      <c r="DR221" s="42"/>
      <c r="DS221" s="42"/>
      <c r="DT221" s="42"/>
      <c r="DU221" s="42"/>
      <c r="DV221" s="42"/>
      <c r="DW221" s="42"/>
      <c r="DX221" s="42"/>
      <c r="DY221" s="42"/>
      <c r="DZ221" s="43"/>
      <c r="EA221" s="43"/>
      <c r="EB221" s="43"/>
      <c r="EC221" s="43"/>
      <c r="ED221" s="41"/>
      <c r="EE221" s="41"/>
      <c r="EF221" s="41"/>
      <c r="EG221" s="42"/>
      <c r="EH221" s="42"/>
      <c r="EI221" s="42"/>
      <c r="EJ221" s="42"/>
      <c r="EK221" s="42"/>
      <c r="EL221" s="42"/>
      <c r="EM221" s="42"/>
      <c r="EN221" s="42"/>
      <c r="EO221" s="42"/>
      <c r="EP221" s="43"/>
      <c r="EQ221" s="42"/>
      <c r="ER221" s="42"/>
      <c r="ES221" s="42"/>
      <c r="ET221" s="42"/>
      <c r="EU221" s="42"/>
      <c r="EV221" s="42"/>
      <c r="EW221" s="42"/>
      <c r="EX221" s="42"/>
      <c r="EY221" s="43"/>
      <c r="EZ221" s="43"/>
      <c r="FA221" s="43"/>
      <c r="FB221" s="42"/>
      <c r="FC221" s="42"/>
      <c r="FD221" s="41"/>
      <c r="FE221" s="41"/>
      <c r="FF221" s="42"/>
      <c r="FG221" s="42"/>
      <c r="FH221" s="42"/>
      <c r="FI221" s="42"/>
      <c r="FJ221" s="42"/>
      <c r="FN221" s="8"/>
      <c r="FO221" s="8"/>
      <c r="FP221" s="8"/>
      <c r="FQ221" s="8"/>
      <c r="FR221" s="8"/>
      <c r="FS221" s="8"/>
      <c r="FT221" s="8"/>
      <c r="FU221" s="8"/>
      <c r="GD221" s="78" t="str">
        <f t="shared" si="453"/>
        <v/>
      </c>
      <c r="GE221" s="309"/>
      <c r="GF221" s="309"/>
      <c r="GQ221" s="8"/>
    </row>
    <row r="222" spans="3:199" x14ac:dyDescent="0.2">
      <c r="C222" s="426">
        <f t="shared" si="450"/>
        <v>45962</v>
      </c>
      <c r="D222" s="155">
        <f t="shared" si="451"/>
        <v>154</v>
      </c>
      <c r="E222" s="155">
        <f t="shared" si="449"/>
        <v>12759925.5</v>
      </c>
      <c r="F222" s="155"/>
      <c r="G222" s="438">
        <f t="shared" si="452"/>
        <v>161835.09188034188</v>
      </c>
      <c r="I222" s="444">
        <f>IF(D222="","",'Mx FORECAST'!DX160)</f>
        <v>3998643.7954059988</v>
      </c>
      <c r="J222" s="155">
        <f>IF(D222="","",'Mx FORECAST'!DP160)</f>
        <v>0</v>
      </c>
      <c r="K222" s="155">
        <f>IF(D222="","",'Mx FORECAST'!DQ160)</f>
        <v>0</v>
      </c>
      <c r="M222" s="155">
        <f>IF(D222="","",'Mx FORECAST'!DR160)</f>
        <v>0</v>
      </c>
      <c r="O222" s="155">
        <f>IF(D222="","",'Mx FORECAST'!DS160)</f>
        <v>0</v>
      </c>
      <c r="Q222" s="155">
        <f>IF(D222="","",'Mx FORECAST'!DT160)</f>
        <v>0</v>
      </c>
      <c r="S222" s="155">
        <f>IF(D222="","",'Mx FORECAST'!DU160)</f>
        <v>0</v>
      </c>
      <c r="U222" s="155">
        <f>IF(D222="","",'Mx FORECAST'!DV160)</f>
        <v>0</v>
      </c>
      <c r="W222" s="540">
        <f>IF(D222="","",'Mx FORECAST'!DY160)</f>
        <v>8761281.7045940012</v>
      </c>
      <c r="X222" s="540"/>
      <c r="Y222" s="437">
        <f>IF(D222="","",'Mx FORECAST'!DZ160)</f>
        <v>0.68662483214294634</v>
      </c>
      <c r="AD222" s="155"/>
      <c r="AF222" s="155"/>
      <c r="AH222" s="155"/>
      <c r="AJ222" s="155"/>
      <c r="AK222" s="8"/>
      <c r="AL222" s="8"/>
      <c r="AM222" s="8"/>
      <c r="AN222" s="8"/>
      <c r="AO222" s="8"/>
      <c r="AP222" s="8"/>
      <c r="AQ222" s="8"/>
      <c r="AR222" s="8"/>
      <c r="AS222" s="8"/>
      <c r="AT222" s="8"/>
      <c r="AU222" s="8"/>
      <c r="AV222" s="8"/>
      <c r="AW222" s="8"/>
      <c r="AX222" s="8"/>
      <c r="AY222" s="8"/>
      <c r="AZ222" s="8"/>
      <c r="BZ222" s="9"/>
      <c r="CA222" s="9"/>
      <c r="CB222" s="9"/>
      <c r="DM222" s="44"/>
      <c r="DN222" s="41"/>
      <c r="DO222" s="41"/>
      <c r="DP222" s="41"/>
      <c r="DQ222" s="42"/>
      <c r="DR222" s="42"/>
      <c r="DS222" s="42"/>
      <c r="DT222" s="42"/>
      <c r="DU222" s="42"/>
      <c r="DV222" s="42"/>
      <c r="DW222" s="42"/>
      <c r="DX222" s="42"/>
      <c r="DY222" s="42"/>
      <c r="DZ222" s="43"/>
      <c r="EA222" s="43"/>
      <c r="EB222" s="43"/>
      <c r="EC222" s="43"/>
      <c r="ED222" s="41"/>
      <c r="EE222" s="41"/>
      <c r="EF222" s="41"/>
      <c r="EG222" s="42"/>
      <c r="EH222" s="42"/>
      <c r="EI222" s="42"/>
      <c r="EJ222" s="42"/>
      <c r="EK222" s="42"/>
      <c r="EL222" s="42"/>
      <c r="EM222" s="42"/>
      <c r="EN222" s="42"/>
      <c r="EO222" s="42"/>
      <c r="EP222" s="43"/>
      <c r="EQ222" s="42"/>
      <c r="ER222" s="42"/>
      <c r="ES222" s="42"/>
      <c r="ET222" s="42"/>
      <c r="EU222" s="42"/>
      <c r="EV222" s="42"/>
      <c r="EW222" s="42"/>
      <c r="EX222" s="42"/>
      <c r="EY222" s="43"/>
      <c r="EZ222" s="43"/>
      <c r="FA222" s="43"/>
      <c r="FB222" s="42"/>
      <c r="FC222" s="42"/>
      <c r="FD222" s="41"/>
      <c r="FE222" s="41"/>
      <c r="FF222" s="42"/>
      <c r="FG222" s="42"/>
      <c r="FH222" s="42"/>
      <c r="FI222" s="42"/>
      <c r="FJ222" s="42"/>
      <c r="FN222" s="8"/>
      <c r="FO222" s="8"/>
      <c r="FP222" s="8"/>
      <c r="FQ222" s="8"/>
      <c r="FR222" s="8"/>
      <c r="FS222" s="8"/>
      <c r="FT222" s="8"/>
      <c r="FU222" s="8"/>
      <c r="GD222" s="78" t="str">
        <f t="shared" si="453"/>
        <v/>
      </c>
      <c r="GE222" s="309"/>
      <c r="GF222" s="309"/>
    </row>
    <row r="223" spans="3:199" x14ac:dyDescent="0.2">
      <c r="C223" s="426">
        <f t="shared" si="450"/>
        <v>45992</v>
      </c>
      <c r="D223" s="155">
        <f t="shared" si="451"/>
        <v>155</v>
      </c>
      <c r="E223" s="155">
        <f t="shared" si="449"/>
        <v>12759925.5</v>
      </c>
      <c r="F223" s="155"/>
      <c r="G223" s="438">
        <f t="shared" si="452"/>
        <v>161835.09188034188</v>
      </c>
      <c r="I223" s="444">
        <f>IF(D223="","",'Mx FORECAST'!DX161)</f>
        <v>4160478.887286339</v>
      </c>
      <c r="J223" s="155">
        <f>IF(D223="","",'Mx FORECAST'!DP161)</f>
        <v>0</v>
      </c>
      <c r="K223" s="155">
        <f>IF(D223="","",'Mx FORECAST'!DQ161)</f>
        <v>0</v>
      </c>
      <c r="M223" s="155">
        <f>IF(D223="","",'Mx FORECAST'!DR161)</f>
        <v>0</v>
      </c>
      <c r="O223" s="155">
        <f>IF(D223="","",'Mx FORECAST'!DS161)</f>
        <v>0</v>
      </c>
      <c r="Q223" s="155">
        <f>IF(D223="","",'Mx FORECAST'!DT161)</f>
        <v>0</v>
      </c>
      <c r="S223" s="155">
        <f>IF(D223="","",'Mx FORECAST'!DU161)</f>
        <v>0</v>
      </c>
      <c r="U223" s="155">
        <f>IF(D223="","",'Mx FORECAST'!DV161)</f>
        <v>0</v>
      </c>
      <c r="W223" s="540">
        <f>IF(D223="","",'Mx FORECAST'!DY161)</f>
        <v>8599446.612713661</v>
      </c>
      <c r="X223" s="540"/>
      <c r="Y223" s="437">
        <f>IF(D223="","",'Mx FORECAST'!DZ161)</f>
        <v>0.67394175716101645</v>
      </c>
      <c r="AD223" s="155"/>
      <c r="AF223" s="155"/>
      <c r="AH223" s="155"/>
      <c r="AJ223" s="155"/>
      <c r="AK223" s="8"/>
      <c r="AL223" s="8"/>
      <c r="AM223" s="8"/>
      <c r="AN223" s="8"/>
      <c r="AO223" s="8"/>
      <c r="AP223" s="8"/>
      <c r="AQ223" s="8"/>
      <c r="AR223" s="8"/>
      <c r="AS223" s="8"/>
      <c r="AT223" s="8"/>
      <c r="AU223" s="8"/>
      <c r="AV223" s="8"/>
      <c r="AW223" s="8"/>
      <c r="AX223" s="8"/>
      <c r="AY223" s="8"/>
      <c r="AZ223" s="8"/>
      <c r="BZ223" s="9"/>
      <c r="CA223" s="9"/>
      <c r="CB223" s="9"/>
      <c r="DM223" s="44"/>
      <c r="DN223" s="41"/>
      <c r="DO223" s="41"/>
      <c r="DP223" s="41"/>
      <c r="DQ223" s="42"/>
      <c r="DR223" s="42"/>
      <c r="DS223" s="42"/>
      <c r="DT223" s="42"/>
      <c r="DU223" s="42"/>
      <c r="DV223" s="42"/>
      <c r="DW223" s="42"/>
      <c r="DX223" s="42"/>
      <c r="DY223" s="42"/>
      <c r="DZ223" s="43"/>
      <c r="EA223" s="43"/>
      <c r="EB223" s="43"/>
      <c r="EC223" s="43"/>
      <c r="ED223" s="41"/>
      <c r="EE223" s="41"/>
      <c r="EF223" s="41"/>
      <c r="EG223" s="42"/>
      <c r="EH223" s="42"/>
      <c r="EI223" s="42"/>
      <c r="EJ223" s="42"/>
      <c r="EK223" s="42"/>
      <c r="EL223" s="42"/>
      <c r="EM223" s="42"/>
      <c r="EN223" s="42"/>
      <c r="EO223" s="42"/>
      <c r="EP223" s="43"/>
      <c r="EQ223" s="42"/>
      <c r="ER223" s="42"/>
      <c r="ES223" s="42"/>
      <c r="ET223" s="42"/>
      <c r="EU223" s="42"/>
      <c r="EV223" s="42"/>
      <c r="EW223" s="42"/>
      <c r="EX223" s="42"/>
      <c r="EY223" s="43"/>
      <c r="EZ223" s="43"/>
      <c r="FA223" s="43"/>
      <c r="FB223" s="42"/>
      <c r="FC223" s="42"/>
      <c r="FD223" s="41"/>
      <c r="FE223" s="41"/>
      <c r="FF223" s="42"/>
      <c r="FG223" s="42"/>
      <c r="FH223" s="42"/>
      <c r="FI223" s="42"/>
      <c r="FJ223" s="42"/>
      <c r="FN223" s="8"/>
      <c r="FO223" s="8"/>
      <c r="FP223" s="8"/>
      <c r="FQ223" s="8"/>
      <c r="FR223" s="8"/>
      <c r="FS223" s="8"/>
      <c r="FT223" s="8"/>
      <c r="FU223" s="8"/>
      <c r="GD223" s="78" t="str">
        <f t="shared" si="453"/>
        <v/>
      </c>
      <c r="GE223" s="309"/>
      <c r="GF223" s="309"/>
    </row>
    <row r="224" spans="3:199" x14ac:dyDescent="0.2">
      <c r="C224" s="426">
        <f t="shared" si="450"/>
        <v>46023</v>
      </c>
      <c r="D224" s="155">
        <f t="shared" si="451"/>
        <v>156</v>
      </c>
      <c r="E224" s="155">
        <f t="shared" si="449"/>
        <v>12759925.5</v>
      </c>
      <c r="F224" s="155"/>
      <c r="G224" s="438">
        <f t="shared" si="452"/>
        <v>161835.09188034188</v>
      </c>
      <c r="I224" s="444">
        <f>IF(D224="","",'Mx FORECAST'!DX162)</f>
        <v>4322313.9791666791</v>
      </c>
      <c r="J224" s="155">
        <f>IF(D224="","",'Mx FORECAST'!DP162)</f>
        <v>0</v>
      </c>
      <c r="K224" s="155">
        <f>IF(D224="","",'Mx FORECAST'!DQ162)</f>
        <v>0</v>
      </c>
      <c r="M224" s="155">
        <f>IF(D224="","",'Mx FORECAST'!DR162)</f>
        <v>0</v>
      </c>
      <c r="O224" s="155">
        <f>IF(D224="","",'Mx FORECAST'!DS162)</f>
        <v>0</v>
      </c>
      <c r="Q224" s="155">
        <f>IF(D224="","",'Mx FORECAST'!DT162)</f>
        <v>0</v>
      </c>
      <c r="S224" s="155">
        <f>IF(D224="","",'Mx FORECAST'!DU162)</f>
        <v>0</v>
      </c>
      <c r="U224" s="155">
        <f>IF(D224="","",'Mx FORECAST'!DV162)</f>
        <v>0</v>
      </c>
      <c r="W224" s="540">
        <f>IF(D224="","",'Mx FORECAST'!DY162)</f>
        <v>8437611.5208333209</v>
      </c>
      <c r="X224" s="540"/>
      <c r="Y224" s="437">
        <f>IF(D224="","",'Mx FORECAST'!DZ162)</f>
        <v>0.66125868217908645</v>
      </c>
      <c r="AD224" s="155"/>
      <c r="AF224" s="155"/>
      <c r="AH224" s="155"/>
      <c r="AJ224" s="155"/>
      <c r="AK224" s="8"/>
      <c r="AL224" s="8"/>
      <c r="AM224" s="8"/>
      <c r="AN224" s="8"/>
      <c r="AO224" s="8"/>
      <c r="AP224" s="8"/>
      <c r="AQ224" s="8"/>
      <c r="AR224" s="8"/>
      <c r="AS224" s="8"/>
      <c r="AT224" s="8"/>
      <c r="AU224" s="8"/>
      <c r="AV224" s="8"/>
      <c r="AW224" s="8"/>
      <c r="AX224" s="8"/>
      <c r="AY224" s="8"/>
      <c r="AZ224" s="8"/>
      <c r="BZ224" s="9"/>
      <c r="CA224" s="9"/>
      <c r="CB224" s="9"/>
      <c r="DM224" s="44"/>
      <c r="DN224" s="41"/>
      <c r="DO224" s="41"/>
      <c r="DP224" s="41"/>
      <c r="DQ224" s="42"/>
      <c r="DR224" s="42"/>
      <c r="DS224" s="42"/>
      <c r="DT224" s="42"/>
      <c r="DU224" s="42"/>
      <c r="DV224" s="42"/>
      <c r="DW224" s="42"/>
      <c r="DX224" s="42"/>
      <c r="DY224" s="42"/>
      <c r="DZ224" s="43"/>
      <c r="EA224" s="43"/>
      <c r="EB224" s="43"/>
      <c r="EC224" s="43"/>
      <c r="ED224" s="41"/>
      <c r="EE224" s="41"/>
      <c r="EF224" s="41"/>
      <c r="EG224" s="42"/>
      <c r="EH224" s="42"/>
      <c r="EI224" s="42"/>
      <c r="EJ224" s="42"/>
      <c r="EK224" s="42"/>
      <c r="EL224" s="42"/>
      <c r="EM224" s="42"/>
      <c r="EN224" s="42"/>
      <c r="EO224" s="42"/>
      <c r="EP224" s="43"/>
      <c r="EQ224" s="42"/>
      <c r="ER224" s="42"/>
      <c r="ES224" s="42"/>
      <c r="ET224" s="42"/>
      <c r="EU224" s="42"/>
      <c r="EV224" s="42"/>
      <c r="EW224" s="42"/>
      <c r="EX224" s="42"/>
      <c r="EY224" s="43"/>
      <c r="EZ224" s="43"/>
      <c r="FA224" s="43"/>
      <c r="FB224" s="42"/>
      <c r="FC224" s="42"/>
      <c r="FD224" s="41"/>
      <c r="FE224" s="41"/>
      <c r="FF224" s="42"/>
      <c r="FG224" s="42"/>
      <c r="FH224" s="42"/>
      <c r="FI224" s="42"/>
      <c r="FJ224" s="42"/>
      <c r="FN224" s="8"/>
      <c r="FO224" s="8"/>
      <c r="FP224" s="8"/>
      <c r="FQ224" s="8"/>
      <c r="FR224" s="8"/>
      <c r="FS224" s="8"/>
      <c r="FT224" s="8"/>
      <c r="FU224" s="8"/>
      <c r="GD224" s="78" t="str">
        <f t="shared" si="453"/>
        <v/>
      </c>
      <c r="GE224" s="309"/>
      <c r="GF224" s="309"/>
    </row>
    <row r="225" spans="3:188" x14ac:dyDescent="0.2">
      <c r="C225" s="426">
        <f t="shared" si="450"/>
        <v>46054</v>
      </c>
      <c r="D225" s="155">
        <f t="shared" si="451"/>
        <v>157</v>
      </c>
      <c r="E225" s="155">
        <f t="shared" si="449"/>
        <v>12759925.5</v>
      </c>
      <c r="F225" s="155"/>
      <c r="G225" s="438">
        <f t="shared" si="452"/>
        <v>161835.09188034188</v>
      </c>
      <c r="I225" s="444">
        <f>IF(D225="","",'Mx FORECAST'!DX163)</f>
        <v>4484149.0710470192</v>
      </c>
      <c r="J225" s="155">
        <f>IF(D225="","",'Mx FORECAST'!DP163)</f>
        <v>0</v>
      </c>
      <c r="K225" s="155">
        <f>IF(D225="","",'Mx FORECAST'!DQ163)</f>
        <v>0</v>
      </c>
      <c r="M225" s="155">
        <f>IF(D225="","",'Mx FORECAST'!DR163)</f>
        <v>0</v>
      </c>
      <c r="O225" s="155">
        <f>IF(D225="","",'Mx FORECAST'!DS163)</f>
        <v>0</v>
      </c>
      <c r="Q225" s="155">
        <f>IF(D225="","",'Mx FORECAST'!DT163)</f>
        <v>0</v>
      </c>
      <c r="S225" s="155">
        <f>IF(D225="","",'Mx FORECAST'!DU163)</f>
        <v>0</v>
      </c>
      <c r="U225" s="155">
        <f>IF(D225="","",'Mx FORECAST'!DV163)</f>
        <v>0</v>
      </c>
      <c r="W225" s="540">
        <f>IF(D225="","",'Mx FORECAST'!DY163)</f>
        <v>8275776.4289529808</v>
      </c>
      <c r="X225" s="540"/>
      <c r="Y225" s="437">
        <f>IF(D225="","",'Mx FORECAST'!DZ163)</f>
        <v>0.64857560719715646</v>
      </c>
      <c r="AD225" s="155"/>
      <c r="AF225" s="155"/>
      <c r="AH225" s="155"/>
      <c r="AJ225" s="155"/>
      <c r="AK225" s="8"/>
      <c r="AL225" s="8"/>
      <c r="AM225" s="8"/>
      <c r="AN225" s="8"/>
      <c r="AO225" s="8"/>
      <c r="AP225" s="8"/>
      <c r="AQ225" s="8"/>
      <c r="AR225" s="8"/>
      <c r="AS225" s="8"/>
      <c r="AT225" s="8"/>
      <c r="AU225" s="8"/>
      <c r="AV225" s="8"/>
      <c r="AW225" s="8"/>
      <c r="AX225" s="8"/>
      <c r="AY225" s="8"/>
      <c r="AZ225" s="8"/>
      <c r="BZ225" s="9"/>
      <c r="CA225" s="9"/>
      <c r="CB225" s="9"/>
      <c r="DM225" s="44"/>
      <c r="DN225" s="41"/>
      <c r="DO225" s="41"/>
      <c r="DP225" s="41"/>
      <c r="DQ225" s="42"/>
      <c r="DR225" s="42"/>
      <c r="DS225" s="42"/>
      <c r="DT225" s="42"/>
      <c r="DU225" s="42"/>
      <c r="DV225" s="42"/>
      <c r="DW225" s="42"/>
      <c r="DX225" s="42"/>
      <c r="DY225" s="42"/>
      <c r="DZ225" s="43"/>
      <c r="EA225" s="43"/>
      <c r="EB225" s="43"/>
      <c r="EC225" s="43"/>
      <c r="ED225" s="41"/>
      <c r="EE225" s="41"/>
      <c r="EF225" s="41"/>
      <c r="EG225" s="42"/>
      <c r="EH225" s="42"/>
      <c r="EI225" s="42"/>
      <c r="EJ225" s="42"/>
      <c r="EK225" s="42"/>
      <c r="EL225" s="42"/>
      <c r="EM225" s="42"/>
      <c r="EN225" s="42"/>
      <c r="EO225" s="42"/>
      <c r="EP225" s="43"/>
      <c r="EQ225" s="42"/>
      <c r="ER225" s="42"/>
      <c r="ES225" s="42"/>
      <c r="ET225" s="42"/>
      <c r="EU225" s="42"/>
      <c r="EV225" s="42"/>
      <c r="EW225" s="42"/>
      <c r="EX225" s="42"/>
      <c r="EY225" s="43"/>
      <c r="EZ225" s="43"/>
      <c r="FA225" s="43"/>
      <c r="FB225" s="42"/>
      <c r="FC225" s="42"/>
      <c r="FD225" s="41"/>
      <c r="FE225" s="41"/>
      <c r="FF225" s="42"/>
      <c r="FG225" s="42"/>
      <c r="FH225" s="42"/>
      <c r="FI225" s="42"/>
      <c r="FJ225" s="42"/>
      <c r="FN225" s="8"/>
      <c r="FO225" s="8"/>
      <c r="FP225" s="8"/>
      <c r="FQ225" s="8"/>
      <c r="FR225" s="8"/>
      <c r="FS225" s="8"/>
      <c r="FT225" s="8"/>
      <c r="FU225" s="8"/>
      <c r="GD225" s="78" t="str">
        <f t="shared" si="453"/>
        <v/>
      </c>
      <c r="GE225" s="309"/>
      <c r="GF225" s="309"/>
    </row>
    <row r="226" spans="3:188" x14ac:dyDescent="0.2">
      <c r="C226" s="426">
        <f t="shared" si="450"/>
        <v>46082</v>
      </c>
      <c r="D226" s="155">
        <f t="shared" si="451"/>
        <v>158</v>
      </c>
      <c r="E226" s="155">
        <f t="shared" si="449"/>
        <v>12759925.5</v>
      </c>
      <c r="F226" s="155"/>
      <c r="G226" s="438">
        <f t="shared" si="452"/>
        <v>161835.09188034188</v>
      </c>
      <c r="I226" s="444">
        <f>IF(D226="","",'Mx FORECAST'!DX164)</f>
        <v>4645984.1629273593</v>
      </c>
      <c r="J226" s="155">
        <f>IF(D226="","",'Mx FORECAST'!DP164)</f>
        <v>0</v>
      </c>
      <c r="K226" s="155">
        <f>IF(D226="","",'Mx FORECAST'!DQ164)</f>
        <v>0</v>
      </c>
      <c r="M226" s="155">
        <f>IF(D226="","",'Mx FORECAST'!DR164)</f>
        <v>0</v>
      </c>
      <c r="O226" s="155">
        <f>IF(D226="","",'Mx FORECAST'!DS164)</f>
        <v>0</v>
      </c>
      <c r="Q226" s="155">
        <f>IF(D226="","",'Mx FORECAST'!DT164)</f>
        <v>0</v>
      </c>
      <c r="S226" s="155">
        <f>IF(D226="","",'Mx FORECAST'!DU164)</f>
        <v>0</v>
      </c>
      <c r="U226" s="155">
        <f>IF(D226="","",'Mx FORECAST'!DV164)</f>
        <v>0</v>
      </c>
      <c r="W226" s="540">
        <f>IF(D226="","",'Mx FORECAST'!DY164)</f>
        <v>8113941.3370726407</v>
      </c>
      <c r="X226" s="540"/>
      <c r="Y226" s="437">
        <f>IF(D226="","",'Mx FORECAST'!DZ164)</f>
        <v>0.63589253221522657</v>
      </c>
      <c r="AD226" s="155"/>
      <c r="AF226" s="155"/>
      <c r="AH226" s="155"/>
      <c r="AJ226" s="155"/>
      <c r="AK226" s="8"/>
      <c r="AL226" s="8"/>
      <c r="AM226" s="8"/>
      <c r="AN226" s="8"/>
      <c r="AO226" s="8"/>
      <c r="AP226" s="8"/>
      <c r="AQ226" s="8"/>
      <c r="AR226" s="8"/>
      <c r="AS226" s="8"/>
      <c r="AT226" s="8"/>
      <c r="AU226" s="8"/>
      <c r="AV226" s="8"/>
      <c r="AW226" s="8"/>
      <c r="AX226" s="8"/>
      <c r="AY226" s="8"/>
      <c r="AZ226" s="8"/>
      <c r="BZ226" s="9"/>
      <c r="CA226" s="9"/>
      <c r="CB226" s="9"/>
      <c r="DM226" s="44"/>
      <c r="DN226" s="41"/>
      <c r="DO226" s="41"/>
      <c r="DP226" s="41"/>
      <c r="DQ226" s="42"/>
      <c r="DR226" s="42"/>
      <c r="DS226" s="42"/>
      <c r="DT226" s="42"/>
      <c r="DU226" s="42"/>
      <c r="DV226" s="42"/>
      <c r="DW226" s="42"/>
      <c r="DX226" s="42"/>
      <c r="DY226" s="42"/>
      <c r="DZ226" s="43"/>
      <c r="EA226" s="43"/>
      <c r="EB226" s="43"/>
      <c r="EC226" s="43"/>
      <c r="ED226" s="41"/>
      <c r="EE226" s="41"/>
      <c r="EF226" s="41"/>
      <c r="EG226" s="42"/>
      <c r="EH226" s="42"/>
      <c r="EI226" s="42"/>
      <c r="EJ226" s="42"/>
      <c r="EK226" s="42"/>
      <c r="EL226" s="42"/>
      <c r="EM226" s="42"/>
      <c r="EN226" s="42"/>
      <c r="EO226" s="42"/>
      <c r="EP226" s="43"/>
      <c r="EQ226" s="42"/>
      <c r="ER226" s="42"/>
      <c r="ES226" s="42"/>
      <c r="ET226" s="42"/>
      <c r="EU226" s="42"/>
      <c r="EV226" s="42"/>
      <c r="EW226" s="42"/>
      <c r="EX226" s="42"/>
      <c r="EY226" s="43"/>
      <c r="EZ226" s="43"/>
      <c r="FA226" s="43"/>
      <c r="FB226" s="42"/>
      <c r="FC226" s="42"/>
      <c r="FD226" s="41"/>
      <c r="FE226" s="41"/>
      <c r="FF226" s="42"/>
      <c r="FG226" s="42"/>
      <c r="FH226" s="42"/>
      <c r="FI226" s="42"/>
      <c r="FJ226" s="42"/>
      <c r="FN226" s="8"/>
      <c r="FO226" s="8"/>
      <c r="FP226" s="8"/>
      <c r="FQ226" s="8"/>
      <c r="FR226" s="8"/>
      <c r="FS226" s="8"/>
      <c r="FT226" s="8"/>
      <c r="FU226" s="8"/>
      <c r="GD226" s="78" t="str">
        <f t="shared" si="453"/>
        <v/>
      </c>
      <c r="GE226" s="309"/>
      <c r="GF226" s="309"/>
    </row>
    <row r="227" spans="3:188" x14ac:dyDescent="0.2">
      <c r="C227" s="426">
        <f t="shared" si="450"/>
        <v>46113</v>
      </c>
      <c r="D227" s="155">
        <f t="shared" si="451"/>
        <v>159</v>
      </c>
      <c r="E227" s="155">
        <f t="shared" si="449"/>
        <v>12759925.5</v>
      </c>
      <c r="F227" s="155"/>
      <c r="G227" s="438">
        <f t="shared" si="452"/>
        <v>161835.09188034188</v>
      </c>
      <c r="I227" s="444">
        <f>IF(D227="","",'Mx FORECAST'!DX165)</f>
        <v>4807819.2548076995</v>
      </c>
      <c r="J227" s="155">
        <f>IF(D227="","",'Mx FORECAST'!DP165)</f>
        <v>0</v>
      </c>
      <c r="K227" s="155">
        <f>IF(D227="","",'Mx FORECAST'!DQ165)</f>
        <v>0</v>
      </c>
      <c r="M227" s="155">
        <f>IF(D227="","",'Mx FORECAST'!DR165)</f>
        <v>0</v>
      </c>
      <c r="O227" s="155">
        <f>IF(D227="","",'Mx FORECAST'!DS165)</f>
        <v>0</v>
      </c>
      <c r="Q227" s="155">
        <f>IF(D227="","",'Mx FORECAST'!DT165)</f>
        <v>0</v>
      </c>
      <c r="S227" s="155">
        <f>IF(D227="","",'Mx FORECAST'!DU165)</f>
        <v>0</v>
      </c>
      <c r="U227" s="155">
        <f>IF(D227="","",'Mx FORECAST'!DV165)</f>
        <v>0</v>
      </c>
      <c r="W227" s="540">
        <f>IF(D227="","",'Mx FORECAST'!DY165)</f>
        <v>7952106.2451923005</v>
      </c>
      <c r="X227" s="540"/>
      <c r="Y227" s="437">
        <f>IF(D227="","",'Mx FORECAST'!DZ165)</f>
        <v>0.62320945723329657</v>
      </c>
      <c r="AD227" s="155"/>
      <c r="AF227" s="155"/>
      <c r="AH227" s="155"/>
      <c r="AJ227" s="155"/>
      <c r="AK227" s="8"/>
      <c r="AL227" s="8"/>
      <c r="AM227" s="8"/>
      <c r="AN227" s="8"/>
      <c r="AO227" s="8"/>
      <c r="AP227" s="8"/>
      <c r="AQ227" s="8"/>
      <c r="AR227" s="8"/>
      <c r="AS227" s="8"/>
      <c r="AT227" s="8"/>
      <c r="AU227" s="8"/>
      <c r="AV227" s="8"/>
      <c r="AW227" s="8"/>
      <c r="AX227" s="8"/>
      <c r="AY227" s="8"/>
      <c r="AZ227" s="8"/>
      <c r="BZ227" s="9"/>
      <c r="CA227" s="9"/>
      <c r="CB227" s="9"/>
      <c r="DM227" s="44"/>
      <c r="DN227" s="41"/>
      <c r="DO227" s="41"/>
      <c r="DP227" s="41"/>
      <c r="DQ227" s="42"/>
      <c r="DR227" s="42"/>
      <c r="DS227" s="42"/>
      <c r="DT227" s="42"/>
      <c r="DU227" s="42"/>
      <c r="DV227" s="42"/>
      <c r="DW227" s="42"/>
      <c r="DX227" s="42"/>
      <c r="DY227" s="42"/>
      <c r="DZ227" s="43"/>
      <c r="EA227" s="43"/>
      <c r="EB227" s="43"/>
      <c r="EC227" s="43"/>
      <c r="ED227" s="41"/>
      <c r="EE227" s="41"/>
      <c r="EF227" s="41"/>
      <c r="EG227" s="42"/>
      <c r="EH227" s="42"/>
      <c r="EI227" s="42"/>
      <c r="EJ227" s="42"/>
      <c r="EK227" s="42"/>
      <c r="EL227" s="42"/>
      <c r="EM227" s="42"/>
      <c r="EN227" s="42"/>
      <c r="EO227" s="42"/>
      <c r="EP227" s="43"/>
      <c r="EQ227" s="42"/>
      <c r="ER227" s="42"/>
      <c r="ES227" s="42"/>
      <c r="ET227" s="42"/>
      <c r="EU227" s="42"/>
      <c r="EV227" s="42"/>
      <c r="EW227" s="42"/>
      <c r="EX227" s="42"/>
      <c r="EY227" s="43"/>
      <c r="EZ227" s="43"/>
      <c r="FA227" s="43"/>
      <c r="FB227" s="42"/>
      <c r="FC227" s="42"/>
      <c r="FD227" s="41"/>
      <c r="FE227" s="41"/>
      <c r="FF227" s="42"/>
      <c r="FG227" s="42"/>
      <c r="FH227" s="42"/>
      <c r="FI227" s="42"/>
      <c r="FJ227" s="42"/>
      <c r="FN227" s="8"/>
      <c r="FO227" s="8"/>
      <c r="FP227" s="8"/>
      <c r="FQ227" s="8"/>
      <c r="FR227" s="8"/>
      <c r="FS227" s="8"/>
      <c r="FT227" s="8"/>
      <c r="FU227" s="8"/>
      <c r="GD227" s="78" t="str">
        <f t="shared" si="453"/>
        <v/>
      </c>
      <c r="GE227" s="309"/>
      <c r="GF227" s="309"/>
    </row>
    <row r="228" spans="3:188" x14ac:dyDescent="0.2">
      <c r="C228" s="426">
        <f t="shared" si="450"/>
        <v>46143</v>
      </c>
      <c r="D228" s="155">
        <f t="shared" si="451"/>
        <v>160</v>
      </c>
      <c r="E228" s="155">
        <f t="shared" ref="E228:E248" si="454">IF(D228="","",DN166)</f>
        <v>12759925.5</v>
      </c>
      <c r="F228" s="155"/>
      <c r="G228" s="438">
        <f t="shared" si="452"/>
        <v>161835.09188034188</v>
      </c>
      <c r="I228" s="444">
        <f>IF(D228="","",'Mx FORECAST'!DX166)</f>
        <v>4969654.3466880396</v>
      </c>
      <c r="J228" s="155">
        <f>IF(D228="","",'Mx FORECAST'!DP166)</f>
        <v>0</v>
      </c>
      <c r="K228" s="155">
        <f>IF(D228="","",'Mx FORECAST'!DQ166)</f>
        <v>0</v>
      </c>
      <c r="M228" s="155">
        <f>IF(D228="","",'Mx FORECAST'!DR166)</f>
        <v>0</v>
      </c>
      <c r="O228" s="155">
        <f>IF(D228="","",'Mx FORECAST'!DS166)</f>
        <v>0</v>
      </c>
      <c r="Q228" s="155">
        <f>IF(D228="","",'Mx FORECAST'!DT166)</f>
        <v>0</v>
      </c>
      <c r="S228" s="155">
        <f>IF(D228="","",'Mx FORECAST'!DU166)</f>
        <v>0</v>
      </c>
      <c r="U228" s="155">
        <f>IF(D228="","",'Mx FORECAST'!DV166)</f>
        <v>0</v>
      </c>
      <c r="W228" s="540">
        <f>IF(D228="","",'Mx FORECAST'!DY166)</f>
        <v>7790271.1533119604</v>
      </c>
      <c r="X228" s="540"/>
      <c r="Y228" s="437">
        <f>IF(D228="","",'Mx FORECAST'!DZ166)</f>
        <v>0.61052638225136657</v>
      </c>
      <c r="AD228" s="155"/>
      <c r="AF228" s="155"/>
      <c r="AH228" s="155"/>
      <c r="AJ228" s="155"/>
      <c r="AK228" s="8"/>
      <c r="AL228" s="8"/>
      <c r="AM228" s="8"/>
      <c r="AN228" s="8"/>
      <c r="AO228" s="8"/>
      <c r="AP228" s="8"/>
      <c r="AQ228" s="8"/>
      <c r="AR228" s="8"/>
      <c r="AS228" s="8"/>
      <c r="AT228" s="8"/>
      <c r="AU228" s="8"/>
      <c r="AV228" s="8"/>
      <c r="AW228" s="8"/>
      <c r="AX228" s="8"/>
      <c r="AY228" s="8"/>
      <c r="AZ228" s="8"/>
      <c r="BZ228" s="9"/>
      <c r="CA228" s="9"/>
      <c r="CB228" s="9"/>
      <c r="DM228" s="44"/>
      <c r="DN228" s="41"/>
      <c r="DO228" s="41"/>
      <c r="DP228" s="41"/>
      <c r="DQ228" s="42"/>
      <c r="DR228" s="42"/>
      <c r="DS228" s="42"/>
      <c r="DT228" s="42"/>
      <c r="DU228" s="42"/>
      <c r="DV228" s="42"/>
      <c r="DW228" s="42"/>
      <c r="DX228" s="42"/>
      <c r="DY228" s="42"/>
      <c r="DZ228" s="43"/>
      <c r="EA228" s="43"/>
      <c r="EB228" s="43"/>
      <c r="EC228" s="43"/>
      <c r="ED228" s="41"/>
      <c r="EE228" s="41"/>
      <c r="EF228" s="41"/>
      <c r="EG228" s="42"/>
      <c r="EH228" s="42"/>
      <c r="EI228" s="42"/>
      <c r="EJ228" s="42"/>
      <c r="EK228" s="42"/>
      <c r="EL228" s="42"/>
      <c r="EM228" s="42"/>
      <c r="EN228" s="42"/>
      <c r="EO228" s="42"/>
      <c r="EP228" s="43"/>
      <c r="EQ228" s="42"/>
      <c r="ER228" s="42"/>
      <c r="ES228" s="42"/>
      <c r="ET228" s="42"/>
      <c r="EU228" s="42"/>
      <c r="EV228" s="42"/>
      <c r="EW228" s="42"/>
      <c r="EX228" s="42"/>
      <c r="EY228" s="43"/>
      <c r="EZ228" s="43"/>
      <c r="FA228" s="43"/>
      <c r="FB228" s="42"/>
      <c r="FC228" s="42"/>
      <c r="FD228" s="41"/>
      <c r="FE228" s="41"/>
      <c r="FF228" s="42"/>
      <c r="FG228" s="42"/>
      <c r="FH228" s="42"/>
      <c r="FI228" s="42"/>
      <c r="FJ228" s="42"/>
      <c r="FN228" s="8"/>
      <c r="FO228" s="8"/>
      <c r="FP228" s="8"/>
      <c r="FQ228" s="8"/>
      <c r="FR228" s="8"/>
      <c r="FS228" s="8"/>
      <c r="FT228" s="8"/>
      <c r="FU228" s="8"/>
      <c r="GD228" s="78" t="str">
        <f t="shared" si="453"/>
        <v/>
      </c>
      <c r="GE228" s="309"/>
      <c r="GF228" s="309"/>
    </row>
    <row r="229" spans="3:188" x14ac:dyDescent="0.2">
      <c r="C229" s="426">
        <f t="shared" si="450"/>
        <v>46174</v>
      </c>
      <c r="D229" s="155">
        <f t="shared" si="451"/>
        <v>161</v>
      </c>
      <c r="E229" s="155">
        <f t="shared" si="454"/>
        <v>12759925.5</v>
      </c>
      <c r="F229" s="155"/>
      <c r="G229" s="438">
        <f t="shared" ref="G229:G248" si="455">IF(D229="","",DO167)</f>
        <v>161835.09188034188</v>
      </c>
      <c r="I229" s="444">
        <f>IF(D229="","",'Mx FORECAST'!DX167)</f>
        <v>5131489.4385683797</v>
      </c>
      <c r="J229" s="155">
        <f>IF(D229="","",'Mx FORECAST'!DP167)</f>
        <v>0</v>
      </c>
      <c r="K229" s="155">
        <f>IF(D229="","",'Mx FORECAST'!DQ167)</f>
        <v>0</v>
      </c>
      <c r="M229" s="155">
        <f>IF(D229="","",'Mx FORECAST'!DR167)</f>
        <v>0</v>
      </c>
      <c r="O229" s="155">
        <f>IF(D229="","",'Mx FORECAST'!DS167)</f>
        <v>0</v>
      </c>
      <c r="Q229" s="155">
        <f>IF(D229="","",'Mx FORECAST'!DT167)</f>
        <v>0</v>
      </c>
      <c r="S229" s="155">
        <f>IF(D229="","",'Mx FORECAST'!DU167)</f>
        <v>0</v>
      </c>
      <c r="U229" s="155">
        <f>IF(D229="","",'Mx FORECAST'!DV167)</f>
        <v>0</v>
      </c>
      <c r="W229" s="540">
        <f>IF(D229="","",'Mx FORECAST'!DY167)</f>
        <v>7628436.0614316203</v>
      </c>
      <c r="X229" s="540"/>
      <c r="Y229" s="437">
        <f>IF(D229="","",'Mx FORECAST'!DZ167)</f>
        <v>0.59784330726943669</v>
      </c>
      <c r="AD229" s="155"/>
      <c r="AF229" s="155"/>
      <c r="AH229" s="155"/>
      <c r="AJ229" s="155"/>
      <c r="AK229" s="8"/>
      <c r="AL229" s="8"/>
      <c r="AM229" s="8"/>
      <c r="AN229" s="8"/>
      <c r="AO229" s="8"/>
      <c r="AP229" s="8"/>
      <c r="AQ229" s="8"/>
      <c r="AR229" s="8"/>
      <c r="AS229" s="8"/>
      <c r="AT229" s="8"/>
      <c r="AU229" s="8"/>
      <c r="AV229" s="8"/>
      <c r="AW229" s="8"/>
      <c r="AX229" s="8"/>
      <c r="AY229" s="8"/>
      <c r="AZ229" s="8"/>
      <c r="BZ229" s="9"/>
      <c r="CA229" s="9"/>
      <c r="CB229" s="9"/>
      <c r="DM229" s="44"/>
      <c r="DN229" s="41"/>
      <c r="DO229" s="41"/>
      <c r="DP229" s="41"/>
      <c r="DQ229" s="42"/>
      <c r="DR229" s="42"/>
      <c r="DS229" s="42"/>
      <c r="DT229" s="42"/>
      <c r="DU229" s="42"/>
      <c r="DV229" s="42"/>
      <c r="DW229" s="42"/>
      <c r="DX229" s="42"/>
      <c r="DY229" s="42"/>
      <c r="DZ229" s="43"/>
      <c r="EA229" s="43"/>
      <c r="EB229" s="43"/>
      <c r="EC229" s="43"/>
      <c r="ED229" s="41"/>
      <c r="EE229" s="41"/>
      <c r="EF229" s="41"/>
      <c r="EG229" s="42"/>
      <c r="EH229" s="42"/>
      <c r="EI229" s="42"/>
      <c r="EJ229" s="42"/>
      <c r="EK229" s="42"/>
      <c r="EL229" s="42"/>
      <c r="EM229" s="42"/>
      <c r="EN229" s="42"/>
      <c r="EO229" s="42"/>
      <c r="EP229" s="43"/>
      <c r="EQ229" s="42"/>
      <c r="ER229" s="42"/>
      <c r="ES229" s="42"/>
      <c r="ET229" s="42"/>
      <c r="EU229" s="42"/>
      <c r="EV229" s="42"/>
      <c r="EW229" s="42"/>
      <c r="EX229" s="42"/>
      <c r="EY229" s="43"/>
      <c r="EZ229" s="43"/>
      <c r="FA229" s="43"/>
      <c r="FB229" s="42"/>
      <c r="FC229" s="42"/>
      <c r="FD229" s="41"/>
      <c r="FE229" s="41"/>
      <c r="FF229" s="42"/>
      <c r="FG229" s="42"/>
      <c r="FH229" s="42"/>
      <c r="FI229" s="42"/>
      <c r="FJ229" s="42"/>
      <c r="FN229" s="8"/>
      <c r="FO229" s="8"/>
      <c r="FP229" s="8"/>
      <c r="FQ229" s="8"/>
      <c r="FR229" s="8"/>
      <c r="FS229" s="8"/>
      <c r="FT229" s="8"/>
      <c r="FU229" s="8"/>
      <c r="GD229" s="78" t="str">
        <f t="shared" si="453"/>
        <v/>
      </c>
      <c r="GE229" s="309"/>
      <c r="GF229" s="309"/>
    </row>
    <row r="230" spans="3:188" x14ac:dyDescent="0.2">
      <c r="C230" s="426">
        <f t="shared" si="450"/>
        <v>46204</v>
      </c>
      <c r="D230" s="155">
        <f t="shared" si="451"/>
        <v>162</v>
      </c>
      <c r="E230" s="155">
        <f t="shared" si="454"/>
        <v>12759925.5</v>
      </c>
      <c r="F230" s="155"/>
      <c r="G230" s="438">
        <f t="shared" si="455"/>
        <v>161835.09188034188</v>
      </c>
      <c r="I230" s="444">
        <f>IF(D230="","",'Mx FORECAST'!DX168)</f>
        <v>5070844.5304487199</v>
      </c>
      <c r="J230" s="155">
        <f>IF(D230="","",'Mx FORECAST'!DP168)</f>
        <v>222480</v>
      </c>
      <c r="K230" s="155">
        <f>IF(D230="","",'Mx FORECAST'!DQ168)</f>
        <v>0</v>
      </c>
      <c r="M230" s="155">
        <f>IF(D230="","",'Mx FORECAST'!DR168)</f>
        <v>0</v>
      </c>
      <c r="O230" s="155">
        <f>IF(D230="","",'Mx FORECAST'!DS168)</f>
        <v>0</v>
      </c>
      <c r="Q230" s="155">
        <f>IF(D230="","",'Mx FORECAST'!DT168)</f>
        <v>0</v>
      </c>
      <c r="S230" s="155">
        <f>IF(D230="","",'Mx FORECAST'!DU168)</f>
        <v>0</v>
      </c>
      <c r="U230" s="155">
        <f>IF(D230="","",'Mx FORECAST'!DV168)</f>
        <v>0</v>
      </c>
      <c r="W230" s="540">
        <f>IF(D230="","",'Mx FORECAST'!DY168)</f>
        <v>7689080.9695512801</v>
      </c>
      <c r="X230" s="540"/>
      <c r="Y230" s="437">
        <f>IF(D230="","",'Mx FORECAST'!DZ168)</f>
        <v>0.60259607076477684</v>
      </c>
      <c r="AD230" s="155"/>
      <c r="AF230" s="155"/>
      <c r="AH230" s="155"/>
      <c r="AJ230" s="155"/>
      <c r="AK230" s="8"/>
      <c r="AL230" s="8"/>
      <c r="AM230" s="8"/>
      <c r="AN230" s="8"/>
      <c r="AO230" s="8"/>
      <c r="AP230" s="8"/>
      <c r="AQ230" s="8"/>
      <c r="AR230" s="8"/>
      <c r="AS230" s="8"/>
      <c r="AT230" s="8"/>
      <c r="AU230" s="8"/>
      <c r="AV230" s="8"/>
      <c r="AW230" s="8"/>
      <c r="AX230" s="8"/>
      <c r="AY230" s="8"/>
      <c r="AZ230" s="8"/>
      <c r="BZ230" s="9"/>
      <c r="CA230" s="9"/>
      <c r="CB230" s="9"/>
      <c r="DM230" s="44"/>
      <c r="DN230" s="41"/>
      <c r="DO230" s="41"/>
      <c r="DP230" s="41"/>
      <c r="DQ230" s="42"/>
      <c r="DR230" s="42"/>
      <c r="DS230" s="42"/>
      <c r="DT230" s="42"/>
      <c r="DU230" s="42"/>
      <c r="DV230" s="42"/>
      <c r="DW230" s="42"/>
      <c r="DX230" s="42"/>
      <c r="DY230" s="42"/>
      <c r="DZ230" s="43"/>
      <c r="EA230" s="43"/>
      <c r="EB230" s="43"/>
      <c r="EC230" s="43"/>
      <c r="ED230" s="41"/>
      <c r="EE230" s="41"/>
      <c r="EF230" s="41"/>
      <c r="EG230" s="42"/>
      <c r="EH230" s="42"/>
      <c r="EI230" s="42"/>
      <c r="EJ230" s="42"/>
      <c r="EK230" s="42"/>
      <c r="EL230" s="42"/>
      <c r="EM230" s="42"/>
      <c r="EN230" s="42"/>
      <c r="EO230" s="42"/>
      <c r="EP230" s="43"/>
      <c r="EQ230" s="42"/>
      <c r="ER230" s="42"/>
      <c r="ES230" s="42"/>
      <c r="ET230" s="42"/>
      <c r="EU230" s="42"/>
      <c r="EV230" s="42"/>
      <c r="EW230" s="42"/>
      <c r="EX230" s="42"/>
      <c r="EY230" s="43"/>
      <c r="EZ230" s="43"/>
      <c r="FA230" s="43"/>
      <c r="FB230" s="42"/>
      <c r="FC230" s="42"/>
      <c r="FD230" s="41"/>
      <c r="FE230" s="41"/>
      <c r="FF230" s="42"/>
      <c r="FG230" s="42"/>
      <c r="FH230" s="42"/>
      <c r="FI230" s="42"/>
      <c r="FJ230" s="42"/>
      <c r="FN230" s="8"/>
      <c r="FO230" s="8"/>
      <c r="FP230" s="8"/>
      <c r="FQ230" s="8"/>
      <c r="FR230" s="8"/>
      <c r="FS230" s="8"/>
      <c r="FT230" s="8"/>
      <c r="FU230" s="8"/>
      <c r="GD230" s="78" t="str">
        <f t="shared" si="453"/>
        <v/>
      </c>
      <c r="GE230" s="309"/>
      <c r="GF230" s="309"/>
    </row>
    <row r="231" spans="3:188" x14ac:dyDescent="0.2">
      <c r="C231" s="426">
        <f t="shared" si="450"/>
        <v>46235</v>
      </c>
      <c r="D231" s="155">
        <f t="shared" si="451"/>
        <v>163</v>
      </c>
      <c r="E231" s="155">
        <f t="shared" si="454"/>
        <v>12801925.5</v>
      </c>
      <c r="F231" s="155"/>
      <c r="G231" s="438">
        <f t="shared" si="455"/>
        <v>164168.42521367522</v>
      </c>
      <c r="I231" s="444">
        <f>IF(D231="","",'Mx FORECAST'!DX169)</f>
        <v>5235012.9556623958</v>
      </c>
      <c r="J231" s="155">
        <f>IF(D231="","",'Mx FORECAST'!DP169)</f>
        <v>0</v>
      </c>
      <c r="K231" s="155">
        <f>IF(D231="","",'Mx FORECAST'!DQ169)</f>
        <v>0</v>
      </c>
      <c r="M231" s="155">
        <f>IF(D231="","",'Mx FORECAST'!DR169)</f>
        <v>0</v>
      </c>
      <c r="O231" s="155">
        <f>IF(D231="","",'Mx FORECAST'!DS169)</f>
        <v>0</v>
      </c>
      <c r="Q231" s="155">
        <f>IF(D231="","",'Mx FORECAST'!DT169)</f>
        <v>0</v>
      </c>
      <c r="S231" s="155">
        <f>IF(D231="","",'Mx FORECAST'!DU169)</f>
        <v>0</v>
      </c>
      <c r="U231" s="155">
        <f>IF(D231="","",'Mx FORECAST'!DV169)</f>
        <v>0</v>
      </c>
      <c r="W231" s="540">
        <f>IF(D231="","",'Mx FORECAST'!DY169)</f>
        <v>7566912.5443376042</v>
      </c>
      <c r="X231" s="540"/>
      <c r="Y231" s="437">
        <f>IF(D231="","",'Mx FORECAST'!DZ169)</f>
        <v>0.59107612712928259</v>
      </c>
      <c r="AD231" s="155"/>
      <c r="AF231" s="155"/>
      <c r="AH231" s="155"/>
      <c r="AJ231" s="155"/>
      <c r="AK231" s="8"/>
      <c r="AL231" s="8"/>
      <c r="AM231" s="8"/>
      <c r="AN231" s="8"/>
      <c r="AO231" s="8"/>
      <c r="AP231" s="8"/>
      <c r="AQ231" s="8"/>
      <c r="AR231" s="8"/>
      <c r="AS231" s="8"/>
      <c r="AT231" s="8"/>
      <c r="AU231" s="8"/>
      <c r="AV231" s="8"/>
      <c r="AW231" s="8"/>
      <c r="AX231" s="8"/>
      <c r="AY231" s="8"/>
      <c r="AZ231" s="8"/>
      <c r="BZ231" s="9"/>
      <c r="CA231" s="9"/>
      <c r="CB231" s="9"/>
      <c r="DM231" s="44"/>
      <c r="DN231" s="41"/>
      <c r="DO231" s="41"/>
      <c r="DP231" s="41"/>
      <c r="DQ231" s="42"/>
      <c r="DR231" s="42"/>
      <c r="DS231" s="42"/>
      <c r="DT231" s="42"/>
      <c r="DU231" s="42"/>
      <c r="DV231" s="42"/>
      <c r="DW231" s="42"/>
      <c r="DX231" s="42"/>
      <c r="DY231" s="42"/>
      <c r="DZ231" s="43"/>
      <c r="EA231" s="43"/>
      <c r="EB231" s="43"/>
      <c r="EC231" s="43"/>
      <c r="ED231" s="41"/>
      <c r="EE231" s="41"/>
      <c r="EF231" s="41"/>
      <c r="EG231" s="42"/>
      <c r="EH231" s="42"/>
      <c r="EI231" s="42"/>
      <c r="EJ231" s="42"/>
      <c r="EK231" s="42"/>
      <c r="EL231" s="42"/>
      <c r="EM231" s="42"/>
      <c r="EN231" s="42"/>
      <c r="EO231" s="42"/>
      <c r="EP231" s="43"/>
      <c r="EQ231" s="42"/>
      <c r="ER231" s="42"/>
      <c r="ES231" s="42"/>
      <c r="ET231" s="42"/>
      <c r="EU231" s="42"/>
      <c r="EV231" s="42"/>
      <c r="EW231" s="42"/>
      <c r="EX231" s="42"/>
      <c r="EY231" s="43"/>
      <c r="EZ231" s="43"/>
      <c r="FA231" s="43"/>
      <c r="FB231" s="42"/>
      <c r="FC231" s="42"/>
      <c r="FD231" s="41"/>
      <c r="FE231" s="41"/>
      <c r="FF231" s="42"/>
      <c r="FG231" s="42"/>
      <c r="FH231" s="42"/>
      <c r="FI231" s="42"/>
      <c r="FJ231" s="42"/>
      <c r="FN231" s="8"/>
      <c r="FO231" s="8"/>
      <c r="FP231" s="8"/>
      <c r="FQ231" s="8"/>
      <c r="FR231" s="8"/>
      <c r="FS231" s="8"/>
      <c r="FT231" s="8"/>
      <c r="FU231" s="8"/>
      <c r="GD231" s="78" t="str">
        <f t="shared" si="453"/>
        <v/>
      </c>
      <c r="GE231" s="309"/>
      <c r="GF231" s="309"/>
    </row>
    <row r="232" spans="3:188" x14ac:dyDescent="0.2">
      <c r="C232" s="426">
        <f t="shared" si="450"/>
        <v>46266</v>
      </c>
      <c r="D232" s="155">
        <f t="shared" si="451"/>
        <v>164</v>
      </c>
      <c r="E232" s="155">
        <f t="shared" si="454"/>
        <v>12801925.5</v>
      </c>
      <c r="F232" s="155"/>
      <c r="G232" s="438">
        <f t="shared" si="455"/>
        <v>164168.42521367522</v>
      </c>
      <c r="I232" s="444">
        <f>IF(D232="","",'Mx FORECAST'!DX170)</f>
        <v>5151081.3808760718</v>
      </c>
      <c r="J232" s="155">
        <f>IF(D232="","",'Mx FORECAST'!DP170)</f>
        <v>0</v>
      </c>
      <c r="K232" s="155">
        <f>IF(D232="","",'Mx FORECAST'!DQ170)</f>
        <v>0</v>
      </c>
      <c r="M232" s="155">
        <f>IF(D232="","",'Mx FORECAST'!DR170)</f>
        <v>0</v>
      </c>
      <c r="O232" s="155">
        <f>IF(D232="","",'Mx FORECAST'!DS170)</f>
        <v>0</v>
      </c>
      <c r="Q232" s="155">
        <f>IF(D232="","",'Mx FORECAST'!DT170)</f>
        <v>248100</v>
      </c>
      <c r="S232" s="155">
        <f>IF(D232="","",'Mx FORECAST'!DU170)</f>
        <v>0</v>
      </c>
      <c r="U232" s="155">
        <f>IF(D232="","",'Mx FORECAST'!DV170)</f>
        <v>0</v>
      </c>
      <c r="W232" s="540">
        <f>IF(D232="","",'Mx FORECAST'!DY170)</f>
        <v>7650844.1191239282</v>
      </c>
      <c r="X232" s="540"/>
      <c r="Y232" s="437">
        <f>IF(D232="","",'Mx FORECAST'!DZ170)</f>
        <v>0.59763229516715499</v>
      </c>
      <c r="AD232" s="155"/>
      <c r="AF232" s="155"/>
      <c r="AH232" s="155"/>
      <c r="AJ232" s="155"/>
      <c r="AK232" s="8"/>
      <c r="AL232" s="8"/>
      <c r="AM232" s="8"/>
      <c r="AN232" s="8"/>
      <c r="AO232" s="8"/>
      <c r="AP232" s="8"/>
      <c r="AQ232" s="8"/>
      <c r="AR232" s="8"/>
      <c r="AS232" s="8"/>
      <c r="AT232" s="8"/>
      <c r="AU232" s="8"/>
      <c r="AV232" s="8"/>
      <c r="AW232" s="8"/>
      <c r="AX232" s="8"/>
      <c r="AY232" s="8"/>
      <c r="AZ232" s="8"/>
      <c r="BZ232" s="9"/>
      <c r="CA232" s="9"/>
      <c r="CB232" s="9"/>
      <c r="DM232" s="44"/>
      <c r="DN232" s="41"/>
      <c r="DO232" s="41"/>
      <c r="DP232" s="41"/>
      <c r="DQ232" s="42"/>
      <c r="DR232" s="42"/>
      <c r="DS232" s="42"/>
      <c r="DT232" s="42"/>
      <c r="DU232" s="42"/>
      <c r="DV232" s="42"/>
      <c r="DW232" s="42"/>
      <c r="DX232" s="42"/>
      <c r="DY232" s="42"/>
      <c r="DZ232" s="43"/>
      <c r="EA232" s="43"/>
      <c r="EB232" s="43"/>
      <c r="EC232" s="43"/>
      <c r="ED232" s="41"/>
      <c r="EE232" s="41"/>
      <c r="EF232" s="41"/>
      <c r="EG232" s="42"/>
      <c r="EH232" s="42"/>
      <c r="EI232" s="42"/>
      <c r="EJ232" s="42"/>
      <c r="EK232" s="42"/>
      <c r="EL232" s="42"/>
      <c r="EM232" s="42"/>
      <c r="EN232" s="42"/>
      <c r="EO232" s="42"/>
      <c r="EP232" s="43"/>
      <c r="EQ232" s="42"/>
      <c r="ER232" s="42"/>
      <c r="ES232" s="42"/>
      <c r="ET232" s="42"/>
      <c r="EU232" s="42"/>
      <c r="EV232" s="42"/>
      <c r="EW232" s="42"/>
      <c r="EX232" s="42"/>
      <c r="EY232" s="43"/>
      <c r="EZ232" s="43"/>
      <c r="FA232" s="43"/>
      <c r="FB232" s="42"/>
      <c r="FC232" s="42"/>
      <c r="FD232" s="41"/>
      <c r="FE232" s="41"/>
      <c r="FF232" s="42"/>
      <c r="FG232" s="42"/>
      <c r="FH232" s="42"/>
      <c r="FI232" s="42"/>
      <c r="FJ232" s="42"/>
      <c r="FN232" s="8"/>
      <c r="FO232" s="8"/>
      <c r="FP232" s="8"/>
      <c r="FQ232" s="8"/>
      <c r="FR232" s="8"/>
      <c r="FS232" s="8"/>
      <c r="FT232" s="8"/>
      <c r="FU232" s="8"/>
      <c r="GD232" s="78" t="str">
        <f t="shared" si="453"/>
        <v/>
      </c>
      <c r="GE232" s="309"/>
      <c r="GF232" s="309"/>
    </row>
    <row r="233" spans="3:188" x14ac:dyDescent="0.2">
      <c r="C233" s="426">
        <f t="shared" si="450"/>
        <v>46296</v>
      </c>
      <c r="D233" s="155">
        <f t="shared" si="451"/>
        <v>165</v>
      </c>
      <c r="E233" s="155">
        <f t="shared" si="454"/>
        <v>12801925.5</v>
      </c>
      <c r="F233" s="155"/>
      <c r="G233" s="438">
        <f t="shared" si="455"/>
        <v>164168.42521367522</v>
      </c>
      <c r="I233" s="444">
        <f>IF(D233="","",'Mx FORECAST'!DX171)</f>
        <v>5315249.8060897477</v>
      </c>
      <c r="J233" s="155">
        <f>IF(D233="","",'Mx FORECAST'!DP171)</f>
        <v>0</v>
      </c>
      <c r="K233" s="155">
        <f>IF(D233="","",'Mx FORECAST'!DQ171)</f>
        <v>0</v>
      </c>
      <c r="M233" s="155">
        <f>IF(D233="","",'Mx FORECAST'!DR171)</f>
        <v>0</v>
      </c>
      <c r="O233" s="155">
        <f>IF(D233="","",'Mx FORECAST'!DS171)</f>
        <v>0</v>
      </c>
      <c r="Q233" s="155">
        <f>IF(D233="","",'Mx FORECAST'!DT171)</f>
        <v>0</v>
      </c>
      <c r="S233" s="155">
        <f>IF(D233="","",'Mx FORECAST'!DU171)</f>
        <v>0</v>
      </c>
      <c r="U233" s="155">
        <f>IF(D233="","",'Mx FORECAST'!DV171)</f>
        <v>0</v>
      </c>
      <c r="W233" s="540">
        <f>IF(D233="","",'Mx FORECAST'!DY171)</f>
        <v>7486675.6939102523</v>
      </c>
      <c r="X233" s="540"/>
      <c r="Y233" s="437">
        <f>IF(D233="","",'Mx FORECAST'!DZ171)</f>
        <v>0.58480856601690523</v>
      </c>
      <c r="AD233" s="155"/>
      <c r="AF233" s="155"/>
      <c r="AH233" s="155"/>
      <c r="AJ233" s="155"/>
      <c r="AK233" s="8"/>
      <c r="AL233" s="8"/>
      <c r="AM233" s="8"/>
      <c r="AN233" s="8"/>
      <c r="AO233" s="8"/>
      <c r="AP233" s="8"/>
      <c r="AQ233" s="8"/>
      <c r="AR233" s="8"/>
      <c r="AS233" s="8"/>
      <c r="AT233" s="8"/>
      <c r="AU233" s="8"/>
      <c r="AV233" s="8"/>
      <c r="AW233" s="8"/>
      <c r="AX233" s="8"/>
      <c r="AY233" s="8"/>
      <c r="AZ233" s="8"/>
      <c r="BZ233" s="9"/>
      <c r="CA233" s="9"/>
      <c r="CB233" s="9"/>
      <c r="DM233" s="44"/>
      <c r="DN233" s="41"/>
      <c r="DO233" s="41"/>
      <c r="DP233" s="41"/>
      <c r="DQ233" s="42"/>
      <c r="DR233" s="42"/>
      <c r="DS233" s="42"/>
      <c r="DT233" s="42"/>
      <c r="DU233" s="42"/>
      <c r="DV233" s="42"/>
      <c r="DW233" s="42"/>
      <c r="DX233" s="42"/>
      <c r="DY233" s="42"/>
      <c r="DZ233" s="43"/>
      <c r="EA233" s="43"/>
      <c r="EB233" s="43"/>
      <c r="EC233" s="43"/>
      <c r="ED233" s="41"/>
      <c r="EE233" s="41"/>
      <c r="EF233" s="41"/>
      <c r="EG233" s="42"/>
      <c r="EH233" s="42"/>
      <c r="EI233" s="42"/>
      <c r="EJ233" s="42"/>
      <c r="EK233" s="42"/>
      <c r="EL233" s="42"/>
      <c r="EM233" s="42"/>
      <c r="EN233" s="42"/>
      <c r="EO233" s="42"/>
      <c r="EP233" s="43"/>
      <c r="EQ233" s="42"/>
      <c r="ER233" s="42"/>
      <c r="ES233" s="42"/>
      <c r="ET233" s="42"/>
      <c r="EU233" s="42"/>
      <c r="EV233" s="42"/>
      <c r="EW233" s="42"/>
      <c r="EX233" s="42"/>
      <c r="EY233" s="43"/>
      <c r="EZ233" s="43"/>
      <c r="FA233" s="43"/>
      <c r="FB233" s="42"/>
      <c r="FC233" s="42"/>
      <c r="FD233" s="41"/>
      <c r="FE233" s="41"/>
      <c r="FF233" s="42"/>
      <c r="FG233" s="42"/>
      <c r="FH233" s="42"/>
      <c r="FI233" s="42"/>
      <c r="FJ233" s="42"/>
      <c r="FN233" s="8"/>
      <c r="FO233" s="8"/>
      <c r="FP233" s="8"/>
      <c r="FQ233" s="8"/>
      <c r="FR233" s="8"/>
      <c r="FS233" s="8"/>
      <c r="FT233" s="8"/>
      <c r="FU233" s="8"/>
      <c r="GD233" s="78" t="str">
        <f t="shared" si="453"/>
        <v/>
      </c>
      <c r="GE233" s="309"/>
      <c r="GF233" s="309"/>
    </row>
    <row r="234" spans="3:188" x14ac:dyDescent="0.2">
      <c r="C234" s="426">
        <f t="shared" si="450"/>
        <v>46327</v>
      </c>
      <c r="D234" s="155">
        <f t="shared" si="451"/>
        <v>166</v>
      </c>
      <c r="E234" s="155">
        <f t="shared" si="454"/>
        <v>12801925.5</v>
      </c>
      <c r="F234" s="155"/>
      <c r="G234" s="438">
        <f t="shared" si="455"/>
        <v>164168.42521367522</v>
      </c>
      <c r="I234" s="444">
        <f>IF(D234="","",'Mx FORECAST'!DX172)</f>
        <v>5479418.2313034236</v>
      </c>
      <c r="J234" s="155">
        <f>IF(D234="","",'Mx FORECAST'!DP172)</f>
        <v>0</v>
      </c>
      <c r="K234" s="155">
        <f>IF(D234="","",'Mx FORECAST'!DQ172)</f>
        <v>0</v>
      </c>
      <c r="M234" s="155">
        <f>IF(D234="","",'Mx FORECAST'!DR172)</f>
        <v>0</v>
      </c>
      <c r="O234" s="155">
        <f>IF(D234="","",'Mx FORECAST'!DS172)</f>
        <v>0</v>
      </c>
      <c r="Q234" s="155">
        <f>IF(D234="","",'Mx FORECAST'!DT172)</f>
        <v>0</v>
      </c>
      <c r="S234" s="155">
        <f>IF(D234="","",'Mx FORECAST'!DU172)</f>
        <v>0</v>
      </c>
      <c r="U234" s="155">
        <f>IF(D234="","",'Mx FORECAST'!DV172)</f>
        <v>0</v>
      </c>
      <c r="W234" s="540">
        <f>IF(D234="","",'Mx FORECAST'!DY172)</f>
        <v>7322507.2686965764</v>
      </c>
      <c r="X234" s="540"/>
      <c r="Y234" s="437">
        <f>IF(D234="","",'Mx FORECAST'!DZ172)</f>
        <v>0.57198483686665547</v>
      </c>
      <c r="AD234" s="155"/>
      <c r="AF234" s="155"/>
      <c r="AH234" s="155"/>
      <c r="AJ234" s="155"/>
      <c r="AK234" s="8"/>
      <c r="AL234" s="8"/>
      <c r="AM234" s="8"/>
      <c r="AN234" s="8"/>
      <c r="AO234" s="8"/>
      <c r="AP234" s="8"/>
      <c r="AQ234" s="8"/>
      <c r="AR234" s="8"/>
      <c r="AS234" s="8"/>
      <c r="AT234" s="8"/>
      <c r="AU234" s="8"/>
      <c r="AV234" s="8"/>
      <c r="AW234" s="8"/>
      <c r="AX234" s="8"/>
      <c r="AY234" s="8"/>
      <c r="AZ234" s="8"/>
      <c r="BZ234" s="9"/>
      <c r="CA234" s="9"/>
      <c r="CB234" s="9"/>
      <c r="DM234" s="44"/>
      <c r="DN234" s="41"/>
      <c r="DO234" s="41"/>
      <c r="DP234" s="41"/>
      <c r="DQ234" s="42"/>
      <c r="DR234" s="42"/>
      <c r="DS234" s="42"/>
      <c r="DT234" s="42"/>
      <c r="DU234" s="42"/>
      <c r="DV234" s="42"/>
      <c r="DW234" s="42"/>
      <c r="DX234" s="42"/>
      <c r="DY234" s="42"/>
      <c r="DZ234" s="43"/>
      <c r="EA234" s="43"/>
      <c r="EB234" s="43"/>
      <c r="EC234" s="43"/>
      <c r="ED234" s="41"/>
      <c r="EE234" s="41"/>
      <c r="EF234" s="41"/>
      <c r="EG234" s="42"/>
      <c r="EH234" s="42"/>
      <c r="EI234" s="42"/>
      <c r="EJ234" s="42"/>
      <c r="EK234" s="42"/>
      <c r="EL234" s="42"/>
      <c r="EM234" s="42"/>
      <c r="EN234" s="42"/>
      <c r="EO234" s="42"/>
      <c r="EP234" s="43"/>
      <c r="EQ234" s="42"/>
      <c r="ER234" s="42"/>
      <c r="ES234" s="42"/>
      <c r="ET234" s="42"/>
      <c r="EU234" s="42"/>
      <c r="EV234" s="42"/>
      <c r="EW234" s="42"/>
      <c r="EX234" s="42"/>
      <c r="EY234" s="43"/>
      <c r="EZ234" s="43"/>
      <c r="FA234" s="43"/>
      <c r="FB234" s="42"/>
      <c r="FC234" s="42"/>
      <c r="FD234" s="41"/>
      <c r="FE234" s="41"/>
      <c r="FF234" s="42"/>
      <c r="FG234" s="42"/>
      <c r="FH234" s="42"/>
      <c r="FI234" s="42"/>
      <c r="FJ234" s="42"/>
      <c r="FN234" s="8"/>
      <c r="FO234" s="8"/>
      <c r="FP234" s="8"/>
      <c r="FQ234" s="8"/>
      <c r="FR234" s="8"/>
      <c r="FS234" s="8"/>
      <c r="FT234" s="8"/>
      <c r="FU234" s="8"/>
      <c r="GD234" s="78" t="str">
        <f t="shared" si="453"/>
        <v/>
      </c>
      <c r="GE234" s="309"/>
      <c r="GF234" s="309"/>
    </row>
    <row r="235" spans="3:188" x14ac:dyDescent="0.2">
      <c r="C235" s="426">
        <f t="shared" si="450"/>
        <v>46357</v>
      </c>
      <c r="D235" s="155">
        <f t="shared" si="451"/>
        <v>167</v>
      </c>
      <c r="E235" s="155">
        <f t="shared" si="454"/>
        <v>12801925.5</v>
      </c>
      <c r="F235" s="155"/>
      <c r="G235" s="438">
        <f t="shared" si="455"/>
        <v>164168.42521367522</v>
      </c>
      <c r="I235" s="444">
        <f>IF(D235="","",'Mx FORECAST'!DX173)</f>
        <v>5643586.6565170996</v>
      </c>
      <c r="J235" s="155">
        <f>IF(D235="","",'Mx FORECAST'!DP173)</f>
        <v>0</v>
      </c>
      <c r="K235" s="155">
        <f>IF(D235="","",'Mx FORECAST'!DQ173)</f>
        <v>0</v>
      </c>
      <c r="M235" s="155">
        <f>IF(D235="","",'Mx FORECAST'!DR173)</f>
        <v>0</v>
      </c>
      <c r="O235" s="155">
        <f>IF(D235="","",'Mx FORECAST'!DS173)</f>
        <v>0</v>
      </c>
      <c r="Q235" s="155">
        <f>IF(D235="","",'Mx FORECAST'!DT173)</f>
        <v>0</v>
      </c>
      <c r="S235" s="155">
        <f>IF(D235="","",'Mx FORECAST'!DU173)</f>
        <v>0</v>
      </c>
      <c r="U235" s="155">
        <f>IF(D235="","",'Mx FORECAST'!DV173)</f>
        <v>0</v>
      </c>
      <c r="W235" s="540">
        <f>IF(D235="","",'Mx FORECAST'!DY173)</f>
        <v>7158338.8434829004</v>
      </c>
      <c r="X235" s="540"/>
      <c r="Y235" s="437">
        <f>IF(D235="","",'Mx FORECAST'!DZ173)</f>
        <v>0.5591611077164057</v>
      </c>
      <c r="AD235" s="155"/>
      <c r="AF235" s="155"/>
      <c r="AH235" s="155"/>
      <c r="AJ235" s="155"/>
      <c r="AK235" s="8"/>
      <c r="AL235" s="8"/>
      <c r="AM235" s="8"/>
      <c r="AN235" s="8"/>
      <c r="AO235" s="8"/>
      <c r="AP235" s="8"/>
      <c r="AQ235" s="8"/>
      <c r="AR235" s="8"/>
      <c r="AS235" s="8"/>
      <c r="AT235" s="8"/>
      <c r="AU235" s="8"/>
      <c r="AV235" s="8"/>
      <c r="AW235" s="8"/>
      <c r="AX235" s="8"/>
      <c r="AY235" s="8"/>
      <c r="AZ235" s="8"/>
      <c r="BZ235" s="9"/>
      <c r="CA235" s="9"/>
      <c r="CB235" s="9"/>
      <c r="DM235" s="44"/>
      <c r="DN235" s="41"/>
      <c r="DO235" s="41"/>
      <c r="DP235" s="41"/>
      <c r="DQ235" s="42"/>
      <c r="DR235" s="42"/>
      <c r="DS235" s="42"/>
      <c r="DT235" s="42"/>
      <c r="DU235" s="42"/>
      <c r="DV235" s="42"/>
      <c r="DW235" s="42"/>
      <c r="DX235" s="42"/>
      <c r="DY235" s="42"/>
      <c r="DZ235" s="43"/>
      <c r="EA235" s="43"/>
      <c r="EB235" s="43"/>
      <c r="EC235" s="43"/>
      <c r="ED235" s="41"/>
      <c r="EE235" s="41"/>
      <c r="EF235" s="41"/>
      <c r="EG235" s="42"/>
      <c r="EH235" s="42"/>
      <c r="EI235" s="42"/>
      <c r="EJ235" s="42"/>
      <c r="EK235" s="42"/>
      <c r="EL235" s="42"/>
      <c r="EM235" s="42"/>
      <c r="EN235" s="42"/>
      <c r="EO235" s="42"/>
      <c r="EP235" s="43"/>
      <c r="EQ235" s="42"/>
      <c r="ER235" s="42"/>
      <c r="ES235" s="42"/>
      <c r="ET235" s="42"/>
      <c r="EU235" s="42"/>
      <c r="EV235" s="42"/>
      <c r="EW235" s="42"/>
      <c r="EX235" s="42"/>
      <c r="EY235" s="43"/>
      <c r="EZ235" s="43"/>
      <c r="FA235" s="43"/>
      <c r="FB235" s="42"/>
      <c r="FC235" s="42"/>
      <c r="FD235" s="41"/>
      <c r="FE235" s="41"/>
      <c r="FF235" s="42"/>
      <c r="FG235" s="42"/>
      <c r="FH235" s="42"/>
      <c r="FI235" s="42"/>
      <c r="FJ235" s="42"/>
      <c r="FN235" s="8"/>
      <c r="FO235" s="8"/>
      <c r="FP235" s="8"/>
      <c r="FQ235" s="8"/>
      <c r="FR235" s="8"/>
      <c r="FS235" s="8"/>
      <c r="FT235" s="8"/>
      <c r="FU235" s="8"/>
      <c r="GD235" s="78" t="str">
        <f t="shared" si="453"/>
        <v/>
      </c>
      <c r="GE235" s="309"/>
      <c r="GF235" s="309"/>
    </row>
    <row r="236" spans="3:188" x14ac:dyDescent="0.2">
      <c r="C236" s="426">
        <f t="shared" si="450"/>
        <v>46388</v>
      </c>
      <c r="D236" s="155">
        <f t="shared" si="451"/>
        <v>168</v>
      </c>
      <c r="E236" s="155">
        <f t="shared" si="454"/>
        <v>12801925.5</v>
      </c>
      <c r="F236" s="155"/>
      <c r="G236" s="438">
        <f t="shared" si="455"/>
        <v>164168.42521367522</v>
      </c>
      <c r="I236" s="444">
        <f>IF(D236="","",'Mx FORECAST'!DX174)</f>
        <v>5807755.0817307755</v>
      </c>
      <c r="J236" s="155">
        <f>IF(D236="","",'Mx FORECAST'!DP174)</f>
        <v>0</v>
      </c>
      <c r="K236" s="155">
        <f>IF(D236="","",'Mx FORECAST'!DQ174)</f>
        <v>0</v>
      </c>
      <c r="M236" s="155">
        <f>IF(D236="","",'Mx FORECAST'!DR174)</f>
        <v>0</v>
      </c>
      <c r="O236" s="155">
        <f>IF(D236="","",'Mx FORECAST'!DS174)</f>
        <v>0</v>
      </c>
      <c r="Q236" s="155">
        <f>IF(D236="","",'Mx FORECAST'!DT174)</f>
        <v>0</v>
      </c>
      <c r="S236" s="155">
        <f>IF(D236="","",'Mx FORECAST'!DU174)</f>
        <v>0</v>
      </c>
      <c r="U236" s="155">
        <f>IF(D236="","",'Mx FORECAST'!DV174)</f>
        <v>0</v>
      </c>
      <c r="W236" s="540">
        <f>IF(D236="","",'Mx FORECAST'!DY174)</f>
        <v>6994170.4182692245</v>
      </c>
      <c r="X236" s="540"/>
      <c r="Y236" s="437">
        <f>IF(D236="","",'Mx FORECAST'!DZ174)</f>
        <v>0.54633737856615594</v>
      </c>
      <c r="AD236" s="155"/>
      <c r="AF236" s="155"/>
      <c r="AH236" s="155"/>
      <c r="AJ236" s="155"/>
      <c r="AK236" s="8"/>
      <c r="AL236" s="8"/>
      <c r="AM236" s="8"/>
      <c r="AN236" s="8"/>
      <c r="AO236" s="8"/>
      <c r="AP236" s="8"/>
      <c r="AQ236" s="8"/>
      <c r="AR236" s="8"/>
      <c r="AS236" s="8"/>
      <c r="AT236" s="8"/>
      <c r="AU236" s="8"/>
      <c r="AV236" s="8"/>
      <c r="AW236" s="8"/>
      <c r="AX236" s="8"/>
      <c r="AY236" s="8"/>
      <c r="AZ236" s="8"/>
      <c r="BZ236" s="9"/>
      <c r="CA236" s="9"/>
      <c r="CB236" s="9"/>
      <c r="DM236" s="44"/>
      <c r="DN236" s="41"/>
      <c r="DO236" s="41"/>
      <c r="DP236" s="41"/>
      <c r="DQ236" s="42"/>
      <c r="DR236" s="42"/>
      <c r="DS236" s="42"/>
      <c r="DT236" s="42"/>
      <c r="DU236" s="42"/>
      <c r="DV236" s="42"/>
      <c r="DW236" s="42"/>
      <c r="DX236" s="42"/>
      <c r="DY236" s="42"/>
      <c r="DZ236" s="43"/>
      <c r="EA236" s="43"/>
      <c r="EB236" s="43"/>
      <c r="EC236" s="43"/>
      <c r="ED236" s="41"/>
      <c r="EE236" s="41"/>
      <c r="EF236" s="41"/>
      <c r="EG236" s="42"/>
      <c r="EH236" s="42"/>
      <c r="EI236" s="42"/>
      <c r="EJ236" s="42"/>
      <c r="EK236" s="42"/>
      <c r="EL236" s="42"/>
      <c r="EM236" s="42"/>
      <c r="EN236" s="42"/>
      <c r="EO236" s="42"/>
      <c r="EP236" s="43"/>
      <c r="EQ236" s="42"/>
      <c r="ER236" s="42"/>
      <c r="ES236" s="42"/>
      <c r="ET236" s="42"/>
      <c r="EU236" s="42"/>
      <c r="EV236" s="42"/>
      <c r="EW236" s="42"/>
      <c r="EX236" s="42"/>
      <c r="EY236" s="43"/>
      <c r="EZ236" s="43"/>
      <c r="FA236" s="43"/>
      <c r="FB236" s="42"/>
      <c r="FC236" s="42"/>
      <c r="FD236" s="41"/>
      <c r="FE236" s="41"/>
      <c r="FF236" s="42"/>
      <c r="FG236" s="42"/>
      <c r="FH236" s="42"/>
      <c r="FI236" s="42"/>
      <c r="FJ236" s="42"/>
      <c r="FN236" s="8"/>
      <c r="FO236" s="8"/>
      <c r="FP236" s="8"/>
      <c r="FQ236" s="8"/>
      <c r="FR236" s="8"/>
      <c r="FS236" s="8"/>
      <c r="FT236" s="8"/>
      <c r="FU236" s="8"/>
      <c r="GD236" s="78" t="str">
        <f t="shared" si="453"/>
        <v/>
      </c>
      <c r="GE236" s="309"/>
      <c r="GF236" s="309"/>
    </row>
    <row r="237" spans="3:188" x14ac:dyDescent="0.2">
      <c r="C237" s="426">
        <f t="shared" si="450"/>
        <v>46419</v>
      </c>
      <c r="D237" s="155">
        <f t="shared" si="451"/>
        <v>169</v>
      </c>
      <c r="E237" s="155">
        <f t="shared" si="454"/>
        <v>12801925.5</v>
      </c>
      <c r="F237" s="155"/>
      <c r="G237" s="438">
        <f t="shared" si="455"/>
        <v>164168.42521367522</v>
      </c>
      <c r="I237" s="444">
        <f>IF(D237="","",'Mx FORECAST'!DX175)</f>
        <v>5971923.5069444515</v>
      </c>
      <c r="J237" s="155">
        <f>IF(D237="","",'Mx FORECAST'!DP175)</f>
        <v>0</v>
      </c>
      <c r="K237" s="155">
        <f>IF(D237="","",'Mx FORECAST'!DQ175)</f>
        <v>0</v>
      </c>
      <c r="M237" s="155">
        <f>IF(D237="","",'Mx FORECAST'!DR175)</f>
        <v>0</v>
      </c>
      <c r="O237" s="155">
        <f>IF(D237="","",'Mx FORECAST'!DS175)</f>
        <v>0</v>
      </c>
      <c r="Q237" s="155">
        <f>IF(D237="","",'Mx FORECAST'!DT175)</f>
        <v>0</v>
      </c>
      <c r="S237" s="155">
        <f>IF(D237="","",'Mx FORECAST'!DU175)</f>
        <v>0</v>
      </c>
      <c r="U237" s="155">
        <f>IF(D237="","",'Mx FORECAST'!DV175)</f>
        <v>0</v>
      </c>
      <c r="W237" s="540">
        <f>IF(D237="","",'Mx FORECAST'!DY175)</f>
        <v>6830001.9930555485</v>
      </c>
      <c r="X237" s="540"/>
      <c r="Y237" s="437">
        <f>IF(D237="","",'Mx FORECAST'!DZ175)</f>
        <v>0.53351364941590607</v>
      </c>
      <c r="AD237" s="155"/>
      <c r="AF237" s="155"/>
      <c r="AH237" s="155"/>
      <c r="AJ237" s="155"/>
      <c r="AK237" s="8"/>
      <c r="AL237" s="8"/>
      <c r="AM237" s="8"/>
      <c r="AN237" s="8"/>
      <c r="AO237" s="8"/>
      <c r="AP237" s="8"/>
      <c r="AQ237" s="8"/>
      <c r="AR237" s="8"/>
      <c r="AS237" s="8"/>
      <c r="AT237" s="8"/>
      <c r="AU237" s="8"/>
      <c r="AV237" s="8"/>
      <c r="AW237" s="8"/>
      <c r="AX237" s="8"/>
      <c r="AY237" s="8"/>
      <c r="AZ237" s="8"/>
      <c r="BZ237" s="9"/>
      <c r="CA237" s="9"/>
      <c r="CB237" s="9"/>
      <c r="DM237" s="44"/>
      <c r="DN237" s="41"/>
      <c r="DO237" s="41"/>
      <c r="DP237" s="41"/>
      <c r="DQ237" s="42"/>
      <c r="DR237" s="42"/>
      <c r="DS237" s="42"/>
      <c r="DT237" s="42"/>
      <c r="DU237" s="42"/>
      <c r="DV237" s="42"/>
      <c r="DW237" s="42"/>
      <c r="DX237" s="42"/>
      <c r="DY237" s="42"/>
      <c r="DZ237" s="43"/>
      <c r="EA237" s="43"/>
      <c r="EB237" s="43"/>
      <c r="EC237" s="43"/>
      <c r="ED237" s="41"/>
      <c r="EE237" s="41"/>
      <c r="EF237" s="41"/>
      <c r="EG237" s="42"/>
      <c r="EH237" s="42"/>
      <c r="EI237" s="42"/>
      <c r="EJ237" s="42"/>
      <c r="EK237" s="42"/>
      <c r="EL237" s="42"/>
      <c r="EM237" s="42"/>
      <c r="EN237" s="42"/>
      <c r="EO237" s="42"/>
      <c r="EP237" s="43"/>
      <c r="EQ237" s="42"/>
      <c r="ER237" s="42"/>
      <c r="ES237" s="42"/>
      <c r="ET237" s="42"/>
      <c r="EU237" s="42"/>
      <c r="EV237" s="42"/>
      <c r="EW237" s="42"/>
      <c r="EX237" s="42"/>
      <c r="EY237" s="43"/>
      <c r="EZ237" s="43"/>
      <c r="FA237" s="43"/>
      <c r="FB237" s="42"/>
      <c r="FC237" s="42"/>
      <c r="FD237" s="41"/>
      <c r="FE237" s="41"/>
      <c r="FF237" s="42"/>
      <c r="FG237" s="42"/>
      <c r="FH237" s="42"/>
      <c r="FI237" s="42"/>
      <c r="FJ237" s="42"/>
      <c r="FN237" s="8"/>
      <c r="FO237" s="8"/>
      <c r="FP237" s="8"/>
      <c r="FQ237" s="8"/>
      <c r="FR237" s="8"/>
      <c r="FS237" s="8"/>
      <c r="FT237" s="8"/>
      <c r="FU237" s="8"/>
      <c r="GD237" s="78" t="str">
        <f t="shared" si="453"/>
        <v/>
      </c>
      <c r="GE237" s="309"/>
      <c r="GF237" s="309"/>
    </row>
    <row r="238" spans="3:188" x14ac:dyDescent="0.2">
      <c r="C238" s="426">
        <f t="shared" si="450"/>
        <v>46447</v>
      </c>
      <c r="D238" s="155">
        <f t="shared" si="451"/>
        <v>170</v>
      </c>
      <c r="E238" s="155">
        <f t="shared" si="454"/>
        <v>12801925.5</v>
      </c>
      <c r="F238" s="155"/>
      <c r="G238" s="438">
        <f t="shared" si="455"/>
        <v>164168.42521367522</v>
      </c>
      <c r="I238" s="444">
        <f>IF(D238="","",'Mx FORECAST'!DX176)</f>
        <v>6136091.9321581274</v>
      </c>
      <c r="J238" s="155">
        <f>IF(D238="","",'Mx FORECAST'!DP176)</f>
        <v>0</v>
      </c>
      <c r="K238" s="155">
        <f>IF(D238="","",'Mx FORECAST'!DQ176)</f>
        <v>0</v>
      </c>
      <c r="M238" s="155">
        <f>IF(D238="","",'Mx FORECAST'!DR176)</f>
        <v>0</v>
      </c>
      <c r="O238" s="155">
        <f>IF(D238="","",'Mx FORECAST'!DS176)</f>
        <v>0</v>
      </c>
      <c r="Q238" s="155">
        <f>IF(D238="","",'Mx FORECAST'!DT176)</f>
        <v>0</v>
      </c>
      <c r="S238" s="155">
        <f>IF(D238="","",'Mx FORECAST'!DU176)</f>
        <v>0</v>
      </c>
      <c r="U238" s="155">
        <f>IF(D238="","",'Mx FORECAST'!DV176)</f>
        <v>0</v>
      </c>
      <c r="W238" s="540">
        <f>IF(D238="","",'Mx FORECAST'!DY176)</f>
        <v>6665833.5678418726</v>
      </c>
      <c r="X238" s="540"/>
      <c r="Y238" s="437">
        <f>IF(D238="","",'Mx FORECAST'!DZ176)</f>
        <v>0.5206899202656563</v>
      </c>
      <c r="AD238" s="155"/>
      <c r="AF238" s="155"/>
      <c r="AH238" s="155"/>
      <c r="AJ238" s="155"/>
      <c r="AK238" s="8"/>
      <c r="AL238" s="8"/>
      <c r="AM238" s="8"/>
      <c r="AN238" s="8"/>
      <c r="AO238" s="8"/>
      <c r="AP238" s="8"/>
      <c r="AQ238" s="8"/>
      <c r="AR238" s="8"/>
      <c r="AS238" s="8"/>
      <c r="AT238" s="8"/>
      <c r="AU238" s="8"/>
      <c r="AV238" s="8"/>
      <c r="AW238" s="8"/>
      <c r="AX238" s="8"/>
      <c r="AY238" s="8"/>
      <c r="AZ238" s="8"/>
      <c r="BZ238" s="9"/>
      <c r="CA238" s="9"/>
      <c r="CB238" s="9"/>
      <c r="DM238" s="44"/>
      <c r="DN238" s="41"/>
      <c r="DO238" s="41"/>
      <c r="DP238" s="41"/>
      <c r="DQ238" s="42"/>
      <c r="DR238" s="42"/>
      <c r="DS238" s="42"/>
      <c r="DT238" s="42"/>
      <c r="DU238" s="42"/>
      <c r="DV238" s="42"/>
      <c r="DW238" s="42"/>
      <c r="DX238" s="42"/>
      <c r="DY238" s="42"/>
      <c r="DZ238" s="43"/>
      <c r="EA238" s="43"/>
      <c r="EB238" s="43"/>
      <c r="EC238" s="43"/>
      <c r="ED238" s="41"/>
      <c r="EE238" s="41"/>
      <c r="EF238" s="41"/>
      <c r="EG238" s="42"/>
      <c r="EH238" s="42"/>
      <c r="EI238" s="42"/>
      <c r="EJ238" s="42"/>
      <c r="EK238" s="42"/>
      <c r="EL238" s="42"/>
      <c r="EM238" s="42"/>
      <c r="EN238" s="42"/>
      <c r="EO238" s="42"/>
      <c r="EP238" s="43"/>
      <c r="EQ238" s="42"/>
      <c r="ER238" s="42"/>
      <c r="ES238" s="42"/>
      <c r="ET238" s="42"/>
      <c r="EU238" s="42"/>
      <c r="EV238" s="42"/>
      <c r="EW238" s="42"/>
      <c r="EX238" s="42"/>
      <c r="EY238" s="43"/>
      <c r="EZ238" s="43"/>
      <c r="FA238" s="43"/>
      <c r="FB238" s="42"/>
      <c r="FC238" s="42"/>
      <c r="FD238" s="41"/>
      <c r="FE238" s="41"/>
      <c r="FF238" s="42"/>
      <c r="FG238" s="42"/>
      <c r="FH238" s="42"/>
      <c r="FI238" s="42"/>
      <c r="FJ238" s="42"/>
      <c r="FN238" s="8"/>
      <c r="FO238" s="8"/>
      <c r="FP238" s="8"/>
      <c r="FQ238" s="8"/>
      <c r="FR238" s="8"/>
      <c r="FS238" s="8"/>
      <c r="FT238" s="8"/>
      <c r="FU238" s="8"/>
      <c r="GD238" s="78" t="str">
        <f t="shared" si="453"/>
        <v/>
      </c>
      <c r="GE238" s="309"/>
      <c r="GF238" s="309"/>
    </row>
    <row r="239" spans="3:188" x14ac:dyDescent="0.2">
      <c r="C239" s="426">
        <f t="shared" si="450"/>
        <v>46478</v>
      </c>
      <c r="D239" s="155">
        <f t="shared" si="451"/>
        <v>171</v>
      </c>
      <c r="E239" s="155">
        <f t="shared" si="454"/>
        <v>12801925.5</v>
      </c>
      <c r="F239" s="155"/>
      <c r="G239" s="438">
        <f t="shared" si="455"/>
        <v>164168.42521367522</v>
      </c>
      <c r="I239" s="444">
        <f>IF(D239="","",'Mx FORECAST'!DX177)</f>
        <v>6300260.3573718034</v>
      </c>
      <c r="J239" s="155">
        <f>IF(D239="","",'Mx FORECAST'!DP177)</f>
        <v>0</v>
      </c>
      <c r="K239" s="155">
        <f>IF(D239="","",'Mx FORECAST'!DQ177)</f>
        <v>0</v>
      </c>
      <c r="M239" s="155">
        <f>IF(D239="","",'Mx FORECAST'!DR177)</f>
        <v>0</v>
      </c>
      <c r="O239" s="155">
        <f>IF(D239="","",'Mx FORECAST'!DS177)</f>
        <v>0</v>
      </c>
      <c r="Q239" s="155">
        <f>IF(D239="","",'Mx FORECAST'!DT177)</f>
        <v>0</v>
      </c>
      <c r="S239" s="155">
        <f>IF(D239="","",'Mx FORECAST'!DU177)</f>
        <v>0</v>
      </c>
      <c r="U239" s="155">
        <f>IF(D239="","",'Mx FORECAST'!DV177)</f>
        <v>0</v>
      </c>
      <c r="W239" s="540">
        <f>IF(D239="","",'Mx FORECAST'!DY177)</f>
        <v>6501665.1426281966</v>
      </c>
      <c r="X239" s="540"/>
      <c r="Y239" s="437">
        <f>IF(D239="","",'Mx FORECAST'!DZ177)</f>
        <v>0.50786619111540654</v>
      </c>
      <c r="AD239" s="155"/>
      <c r="AF239" s="155"/>
      <c r="AH239" s="155"/>
      <c r="AJ239" s="155"/>
      <c r="AK239" s="8"/>
      <c r="AL239" s="8"/>
      <c r="AM239" s="8"/>
      <c r="AN239" s="8"/>
      <c r="AO239" s="8"/>
      <c r="AP239" s="8"/>
      <c r="AQ239" s="8"/>
      <c r="AR239" s="8"/>
      <c r="AS239" s="8"/>
      <c r="AT239" s="8"/>
      <c r="AU239" s="8"/>
      <c r="AV239" s="8"/>
      <c r="AW239" s="8"/>
      <c r="AX239" s="8"/>
      <c r="AY239" s="8"/>
      <c r="AZ239" s="8"/>
      <c r="BZ239" s="9"/>
      <c r="CA239" s="9"/>
      <c r="CB239" s="9"/>
      <c r="DM239" s="44"/>
      <c r="DN239" s="41"/>
      <c r="DO239" s="41"/>
      <c r="DP239" s="41"/>
      <c r="DQ239" s="42"/>
      <c r="DR239" s="42"/>
      <c r="DS239" s="42"/>
      <c r="DT239" s="42"/>
      <c r="DU239" s="42"/>
      <c r="DV239" s="42"/>
      <c r="DW239" s="42"/>
      <c r="DX239" s="42"/>
      <c r="DY239" s="42"/>
      <c r="DZ239" s="43"/>
      <c r="EA239" s="43"/>
      <c r="EB239" s="43"/>
      <c r="EC239" s="43"/>
      <c r="ED239" s="41"/>
      <c r="EE239" s="41"/>
      <c r="EF239" s="41"/>
      <c r="EG239" s="42"/>
      <c r="EH239" s="42"/>
      <c r="EI239" s="42"/>
      <c r="EJ239" s="42"/>
      <c r="EK239" s="42"/>
      <c r="EL239" s="42"/>
      <c r="EM239" s="42"/>
      <c r="EN239" s="42"/>
      <c r="EO239" s="42"/>
      <c r="EP239" s="43"/>
      <c r="EQ239" s="42"/>
      <c r="ER239" s="42"/>
      <c r="ES239" s="42"/>
      <c r="ET239" s="42"/>
      <c r="EU239" s="42"/>
      <c r="EV239" s="42"/>
      <c r="EW239" s="42"/>
      <c r="EX239" s="42"/>
      <c r="EY239" s="43"/>
      <c r="EZ239" s="43"/>
      <c r="FA239" s="43"/>
      <c r="FB239" s="42"/>
      <c r="FC239" s="42"/>
      <c r="FD239" s="41"/>
      <c r="FE239" s="41"/>
      <c r="FF239" s="42"/>
      <c r="FG239" s="42"/>
      <c r="FH239" s="42"/>
      <c r="FI239" s="42"/>
      <c r="FJ239" s="42"/>
      <c r="FN239" s="8"/>
      <c r="FO239" s="8"/>
      <c r="FP239" s="8"/>
      <c r="FQ239" s="8"/>
      <c r="FR239" s="8"/>
      <c r="FS239" s="8"/>
      <c r="FT239" s="8"/>
      <c r="FU239" s="8"/>
      <c r="GD239" s="78" t="str">
        <f t="shared" si="453"/>
        <v/>
      </c>
      <c r="GE239" s="309"/>
      <c r="GF239" s="309"/>
    </row>
    <row r="240" spans="3:188" x14ac:dyDescent="0.2">
      <c r="C240" s="426">
        <f t="shared" si="450"/>
        <v>46508</v>
      </c>
      <c r="D240" s="155">
        <f t="shared" si="451"/>
        <v>172</v>
      </c>
      <c r="E240" s="155">
        <f t="shared" si="454"/>
        <v>12801925.5</v>
      </c>
      <c r="F240" s="155"/>
      <c r="G240" s="438">
        <f t="shared" si="455"/>
        <v>164168.42521367522</v>
      </c>
      <c r="I240" s="444">
        <f>IF(D240="","",'Mx FORECAST'!DX178)</f>
        <v>6464428.7825854793</v>
      </c>
      <c r="J240" s="155">
        <f>IF(D240="","",'Mx FORECAST'!DP178)</f>
        <v>0</v>
      </c>
      <c r="K240" s="155">
        <f>IF(D240="","",'Mx FORECAST'!DQ178)</f>
        <v>0</v>
      </c>
      <c r="M240" s="155">
        <f>IF(D240="","",'Mx FORECAST'!DR178)</f>
        <v>0</v>
      </c>
      <c r="O240" s="155">
        <f>IF(D240="","",'Mx FORECAST'!DS178)</f>
        <v>0</v>
      </c>
      <c r="Q240" s="155">
        <f>IF(D240="","",'Mx FORECAST'!DT178)</f>
        <v>0</v>
      </c>
      <c r="S240" s="155">
        <f>IF(D240="","",'Mx FORECAST'!DU178)</f>
        <v>0</v>
      </c>
      <c r="U240" s="155">
        <f>IF(D240="","",'Mx FORECAST'!DV178)</f>
        <v>0</v>
      </c>
      <c r="W240" s="540">
        <f>IF(D240="","",'Mx FORECAST'!DY178)</f>
        <v>6337496.7174145207</v>
      </c>
      <c r="X240" s="540"/>
      <c r="Y240" s="437">
        <f>IF(D240="","",'Mx FORECAST'!DZ178)</f>
        <v>0.49504246196515678</v>
      </c>
      <c r="AD240" s="155"/>
      <c r="AF240" s="155"/>
      <c r="AH240" s="155"/>
      <c r="AJ240" s="155"/>
      <c r="AK240" s="8"/>
      <c r="AL240" s="8"/>
      <c r="AM240" s="8"/>
      <c r="AN240" s="8"/>
      <c r="AO240" s="8"/>
      <c r="AP240" s="8"/>
      <c r="AQ240" s="8"/>
      <c r="AR240" s="8"/>
      <c r="AS240" s="8"/>
      <c r="AT240" s="8"/>
      <c r="AU240" s="8"/>
      <c r="AV240" s="8"/>
      <c r="AW240" s="8"/>
      <c r="AX240" s="8"/>
      <c r="AY240" s="8"/>
      <c r="AZ240" s="8"/>
      <c r="BZ240" s="9"/>
      <c r="CA240" s="9"/>
      <c r="CB240" s="9"/>
      <c r="DM240" s="44"/>
      <c r="DN240" s="41"/>
      <c r="DO240" s="41"/>
      <c r="DP240" s="41"/>
      <c r="DQ240" s="42"/>
      <c r="DR240" s="42"/>
      <c r="DS240" s="42"/>
      <c r="DT240" s="42"/>
      <c r="DU240" s="42"/>
      <c r="DV240" s="42"/>
      <c r="DW240" s="42"/>
      <c r="DX240" s="42"/>
      <c r="DY240" s="42"/>
      <c r="DZ240" s="43"/>
      <c r="EA240" s="43"/>
      <c r="EB240" s="43"/>
      <c r="EC240" s="43"/>
      <c r="ED240" s="41"/>
      <c r="EE240" s="41"/>
      <c r="EF240" s="41"/>
      <c r="EG240" s="42"/>
      <c r="EH240" s="42"/>
      <c r="EI240" s="42"/>
      <c r="EJ240" s="42"/>
      <c r="EK240" s="42"/>
      <c r="EL240" s="42"/>
      <c r="EM240" s="42"/>
      <c r="EN240" s="42"/>
      <c r="EO240" s="42"/>
      <c r="EP240" s="43"/>
      <c r="EQ240" s="42"/>
      <c r="ER240" s="42"/>
      <c r="ES240" s="42"/>
      <c r="ET240" s="42"/>
      <c r="EU240" s="42"/>
      <c r="EV240" s="42"/>
      <c r="EW240" s="42"/>
      <c r="EX240" s="42"/>
      <c r="EY240" s="43"/>
      <c r="EZ240" s="43"/>
      <c r="FA240" s="43"/>
      <c r="FB240" s="42"/>
      <c r="FC240" s="42"/>
      <c r="FD240" s="41"/>
      <c r="FE240" s="41"/>
      <c r="FF240" s="42"/>
      <c r="FG240" s="42"/>
      <c r="FH240" s="42"/>
      <c r="FI240" s="42"/>
      <c r="FJ240" s="42"/>
      <c r="FN240" s="8"/>
      <c r="FO240" s="8"/>
      <c r="FP240" s="8"/>
      <c r="FQ240" s="8"/>
      <c r="FR240" s="8"/>
      <c r="FS240" s="8"/>
      <c r="FT240" s="8"/>
      <c r="FU240" s="8"/>
      <c r="GD240" s="78" t="str">
        <f t="shared" si="453"/>
        <v/>
      </c>
      <c r="GE240" s="309"/>
      <c r="GF240" s="309"/>
    </row>
    <row r="241" spans="2:188" x14ac:dyDescent="0.2">
      <c r="C241" s="426">
        <f t="shared" si="450"/>
        <v>46539</v>
      </c>
      <c r="D241" s="155">
        <f t="shared" si="451"/>
        <v>173</v>
      </c>
      <c r="E241" s="155">
        <f t="shared" si="454"/>
        <v>12801925.5</v>
      </c>
      <c r="F241" s="155"/>
      <c r="G241" s="438">
        <f t="shared" si="455"/>
        <v>164168.42521367522</v>
      </c>
      <c r="I241" s="444">
        <f>IF(D241="","",'Mx FORECAST'!DX179)</f>
        <v>6628597.2077991553</v>
      </c>
      <c r="J241" s="155">
        <f>IF(D241="","",'Mx FORECAST'!DP179)</f>
        <v>0</v>
      </c>
      <c r="K241" s="155">
        <f>IF(D241="","",'Mx FORECAST'!DQ179)</f>
        <v>0</v>
      </c>
      <c r="M241" s="155">
        <f>IF(D241="","",'Mx FORECAST'!DR179)</f>
        <v>0</v>
      </c>
      <c r="O241" s="155">
        <f>IF(D241="","",'Mx FORECAST'!DS179)</f>
        <v>0</v>
      </c>
      <c r="Q241" s="155">
        <f>IF(D241="","",'Mx FORECAST'!DT179)</f>
        <v>0</v>
      </c>
      <c r="S241" s="155">
        <f>IF(D241="","",'Mx FORECAST'!DU179)</f>
        <v>0</v>
      </c>
      <c r="U241" s="155">
        <f>IF(D241="","",'Mx FORECAST'!DV179)</f>
        <v>0</v>
      </c>
      <c r="W241" s="540">
        <f>IF(D241="","",'Mx FORECAST'!DY179)</f>
        <v>6173328.2922008447</v>
      </c>
      <c r="X241" s="540"/>
      <c r="Y241" s="437">
        <f>IF(D241="","",'Mx FORECAST'!DZ179)</f>
        <v>0.48221873281490701</v>
      </c>
      <c r="AD241" s="155"/>
      <c r="AF241" s="155"/>
      <c r="AH241" s="155"/>
      <c r="AJ241" s="155"/>
      <c r="BZ241" s="9"/>
      <c r="CA241" s="9"/>
      <c r="CB241" s="9"/>
      <c r="DM241" s="44"/>
      <c r="DN241" s="41"/>
      <c r="DO241" s="41"/>
      <c r="DP241" s="41"/>
      <c r="DQ241" s="42"/>
      <c r="DR241" s="42"/>
      <c r="DS241" s="42"/>
      <c r="DT241" s="42"/>
      <c r="DU241" s="42"/>
      <c r="DV241" s="42"/>
      <c r="DW241" s="42"/>
      <c r="DX241" s="42"/>
      <c r="DY241" s="42"/>
      <c r="DZ241" s="43"/>
      <c r="EA241" s="43"/>
      <c r="EB241" s="43"/>
      <c r="EC241" s="43"/>
      <c r="ED241" s="41"/>
      <c r="EE241" s="41"/>
      <c r="EF241" s="41"/>
      <c r="EG241" s="42"/>
      <c r="EH241" s="42"/>
      <c r="EI241" s="42"/>
      <c r="EJ241" s="42"/>
      <c r="EK241" s="42"/>
      <c r="EL241" s="42"/>
      <c r="EM241" s="42"/>
      <c r="EN241" s="42"/>
      <c r="EO241" s="42"/>
      <c r="EP241" s="43"/>
      <c r="EQ241" s="42"/>
      <c r="ER241" s="42"/>
      <c r="ES241" s="42"/>
      <c r="ET241" s="42"/>
      <c r="EU241" s="42"/>
      <c r="EV241" s="42"/>
      <c r="EW241" s="42"/>
      <c r="EX241" s="42"/>
      <c r="EY241" s="43"/>
      <c r="EZ241" s="43"/>
      <c r="FA241" s="43"/>
      <c r="FB241" s="42"/>
      <c r="FC241" s="42"/>
      <c r="FD241" s="41"/>
      <c r="FE241" s="41"/>
      <c r="FF241" s="42"/>
      <c r="FG241" s="42"/>
      <c r="FH241" s="42"/>
      <c r="FI241" s="42"/>
      <c r="FJ241" s="42"/>
      <c r="FN241" s="8"/>
      <c r="FO241" s="8"/>
      <c r="FP241" s="8"/>
      <c r="FQ241" s="8"/>
      <c r="FR241" s="8"/>
      <c r="FS241" s="8"/>
      <c r="FT241" s="8"/>
      <c r="FU241" s="8"/>
      <c r="GD241" s="78" t="str">
        <f t="shared" si="453"/>
        <v/>
      </c>
      <c r="GE241" s="309"/>
      <c r="GF241" s="309"/>
    </row>
    <row r="242" spans="2:188" x14ac:dyDescent="0.2">
      <c r="C242" s="426">
        <f t="shared" si="450"/>
        <v>46569</v>
      </c>
      <c r="D242" s="155">
        <f t="shared" si="451"/>
        <v>174</v>
      </c>
      <c r="E242" s="155">
        <f t="shared" si="454"/>
        <v>12801925.5</v>
      </c>
      <c r="F242" s="155"/>
      <c r="G242" s="438">
        <f t="shared" si="455"/>
        <v>164168.42521367522</v>
      </c>
      <c r="I242" s="444">
        <f>IF(D242="","",'Mx FORECAST'!DX180)</f>
        <v>6792765.6330128312</v>
      </c>
      <c r="J242" s="155">
        <f>IF(D242="","",'Mx FORECAST'!DP180)</f>
        <v>0</v>
      </c>
      <c r="K242" s="155">
        <f>IF(D242="","",'Mx FORECAST'!DQ180)</f>
        <v>0</v>
      </c>
      <c r="M242" s="155">
        <f>IF(D242="","",'Mx FORECAST'!DR180)</f>
        <v>0</v>
      </c>
      <c r="O242" s="155">
        <f>IF(D242="","",'Mx FORECAST'!DS180)</f>
        <v>0</v>
      </c>
      <c r="Q242" s="155">
        <f>IF(D242="","",'Mx FORECAST'!DT180)</f>
        <v>0</v>
      </c>
      <c r="S242" s="155">
        <f>IF(D242="","",'Mx FORECAST'!DU180)</f>
        <v>0</v>
      </c>
      <c r="U242" s="155">
        <f>IF(D242="","",'Mx FORECAST'!DV180)</f>
        <v>0</v>
      </c>
      <c r="W242" s="540">
        <f>IF(D242="","",'Mx FORECAST'!DY180)</f>
        <v>6009159.8669871688</v>
      </c>
      <c r="X242" s="540"/>
      <c r="Y242" s="437">
        <f>IF(D242="","",'Mx FORECAST'!DZ180)</f>
        <v>0.46939500366465725</v>
      </c>
      <c r="AD242" s="155"/>
      <c r="AF242" s="155"/>
      <c r="AH242" s="155"/>
      <c r="AJ242" s="155"/>
      <c r="BZ242" s="9"/>
      <c r="CA242" s="9"/>
      <c r="CB242" s="9"/>
      <c r="DM242" s="44"/>
      <c r="DN242" s="41"/>
      <c r="DO242" s="41"/>
      <c r="DP242" s="41"/>
      <c r="DQ242" s="42"/>
      <c r="DR242" s="42"/>
      <c r="DS242" s="42"/>
      <c r="DT242" s="42"/>
      <c r="DU242" s="42"/>
      <c r="DV242" s="42"/>
      <c r="DW242" s="42"/>
      <c r="DX242" s="42"/>
      <c r="DY242" s="42"/>
      <c r="DZ242" s="43"/>
      <c r="EA242" s="43"/>
      <c r="EB242" s="43"/>
      <c r="EC242" s="43"/>
      <c r="ED242" s="41"/>
      <c r="EE242" s="41"/>
      <c r="EF242" s="41"/>
      <c r="EG242" s="42"/>
      <c r="EH242" s="42"/>
      <c r="EI242" s="42"/>
      <c r="EJ242" s="42"/>
      <c r="EK242" s="42"/>
      <c r="EL242" s="42"/>
      <c r="EM242" s="42"/>
      <c r="EN242" s="42"/>
      <c r="EO242" s="42"/>
      <c r="EP242" s="43"/>
      <c r="EQ242" s="42"/>
      <c r="ER242" s="42"/>
      <c r="ES242" s="42"/>
      <c r="ET242" s="42"/>
      <c r="EU242" s="42"/>
      <c r="EV242" s="42"/>
      <c r="EW242" s="42"/>
      <c r="EX242" s="42"/>
      <c r="EY242" s="43"/>
      <c r="EZ242" s="43"/>
      <c r="FA242" s="43"/>
      <c r="FB242" s="42"/>
      <c r="FC242" s="42"/>
      <c r="FD242" s="41"/>
      <c r="FE242" s="41"/>
      <c r="FF242" s="42"/>
      <c r="FG242" s="42"/>
      <c r="FH242" s="42"/>
      <c r="FI242" s="42"/>
      <c r="FJ242" s="42"/>
      <c r="FN242" s="8"/>
      <c r="FO242" s="8"/>
      <c r="FP242" s="8"/>
      <c r="FQ242" s="8"/>
      <c r="FR242" s="8"/>
      <c r="FS242" s="8"/>
      <c r="FT242" s="8"/>
      <c r="FU242" s="8"/>
      <c r="GD242" s="78" t="str">
        <f t="shared" si="453"/>
        <v/>
      </c>
      <c r="GE242" s="309"/>
      <c r="GF242" s="309"/>
    </row>
    <row r="243" spans="2:188" x14ac:dyDescent="0.2">
      <c r="C243" s="426">
        <f t="shared" si="450"/>
        <v>46600</v>
      </c>
      <c r="D243" s="155">
        <f t="shared" si="451"/>
        <v>175</v>
      </c>
      <c r="E243" s="155">
        <f t="shared" si="454"/>
        <v>12801925.5</v>
      </c>
      <c r="F243" s="155"/>
      <c r="G243" s="438">
        <f t="shared" si="455"/>
        <v>164168.42521367522</v>
      </c>
      <c r="I243" s="444">
        <f>IF(D243="","",'Mx FORECAST'!DX181)</f>
        <v>6956934.0582265072</v>
      </c>
      <c r="J243" s="155">
        <f>IF(D243="","",'Mx FORECAST'!DP181)</f>
        <v>0</v>
      </c>
      <c r="K243" s="155">
        <f>IF(D243="","",'Mx FORECAST'!DQ181)</f>
        <v>0</v>
      </c>
      <c r="M243" s="155">
        <f>IF(D243="","",'Mx FORECAST'!DR181)</f>
        <v>0</v>
      </c>
      <c r="O243" s="155">
        <f>IF(D243="","",'Mx FORECAST'!DS181)</f>
        <v>0</v>
      </c>
      <c r="Q243" s="155">
        <f>IF(D243="","",'Mx FORECAST'!DT181)</f>
        <v>0</v>
      </c>
      <c r="S243" s="155">
        <f>IF(D243="","",'Mx FORECAST'!DU181)</f>
        <v>0</v>
      </c>
      <c r="U243" s="155">
        <f>IF(D243="","",'Mx FORECAST'!DV181)</f>
        <v>0</v>
      </c>
      <c r="W243" s="540">
        <f>IF(D243="","",'Mx FORECAST'!DY181)</f>
        <v>5844991.4417734928</v>
      </c>
      <c r="X243" s="540"/>
      <c r="Y243" s="437">
        <f>IF(D243="","",'Mx FORECAST'!DZ181)</f>
        <v>0.45657127451440743</v>
      </c>
      <c r="AD243" s="155"/>
      <c r="AF243" s="155"/>
      <c r="AH243" s="155"/>
      <c r="AJ243" s="155"/>
      <c r="BZ243" s="9"/>
      <c r="CA243" s="9"/>
      <c r="CB243" s="9"/>
      <c r="DM243" s="44"/>
      <c r="DN243" s="41"/>
      <c r="DO243" s="41"/>
      <c r="DP243" s="41"/>
      <c r="DQ243" s="42"/>
      <c r="DR243" s="42"/>
      <c r="DS243" s="42"/>
      <c r="DT243" s="42"/>
      <c r="DU243" s="42"/>
      <c r="DV243" s="42"/>
      <c r="DW243" s="42"/>
      <c r="DX243" s="42"/>
      <c r="DY243" s="42"/>
      <c r="DZ243" s="43"/>
      <c r="EA243" s="43"/>
      <c r="EB243" s="43"/>
      <c r="EC243" s="43"/>
      <c r="ED243" s="41"/>
      <c r="EE243" s="41"/>
      <c r="EF243" s="41"/>
      <c r="EG243" s="42"/>
      <c r="EH243" s="42"/>
      <c r="EI243" s="42"/>
      <c r="EJ243" s="42"/>
      <c r="EK243" s="42"/>
      <c r="EL243" s="42"/>
      <c r="EM243" s="42"/>
      <c r="EN243" s="42"/>
      <c r="EO243" s="42"/>
      <c r="EP243" s="43"/>
      <c r="EQ243" s="42"/>
      <c r="ER243" s="42"/>
      <c r="ES243" s="42"/>
      <c r="ET243" s="42"/>
      <c r="EU243" s="42"/>
      <c r="EV243" s="42"/>
      <c r="EW243" s="42"/>
      <c r="EX243" s="42"/>
      <c r="EY243" s="43"/>
      <c r="EZ243" s="43"/>
      <c r="FA243" s="43"/>
      <c r="FB243" s="42"/>
      <c r="FC243" s="42"/>
      <c r="FD243" s="41"/>
      <c r="FE243" s="41"/>
      <c r="FF243" s="42"/>
      <c r="FG243" s="42"/>
      <c r="FH243" s="42"/>
      <c r="FI243" s="42"/>
      <c r="FJ243" s="42"/>
      <c r="FN243" s="8"/>
      <c r="FO243" s="8"/>
      <c r="FP243" s="8"/>
      <c r="FQ243" s="8"/>
      <c r="FR243" s="8"/>
      <c r="FS243" s="8"/>
      <c r="FT243" s="8"/>
      <c r="FU243" s="8"/>
      <c r="GD243" s="78" t="str">
        <f t="shared" si="453"/>
        <v/>
      </c>
      <c r="GE243" s="309"/>
      <c r="GF243" s="309"/>
    </row>
    <row r="244" spans="2:188" x14ac:dyDescent="0.2">
      <c r="C244" s="426">
        <f t="shared" si="450"/>
        <v>46631</v>
      </c>
      <c r="D244" s="155">
        <f t="shared" si="451"/>
        <v>176</v>
      </c>
      <c r="E244" s="155">
        <f t="shared" si="454"/>
        <v>12801925.5</v>
      </c>
      <c r="F244" s="155"/>
      <c r="G244" s="438">
        <f t="shared" si="455"/>
        <v>164168.42521367522</v>
      </c>
      <c r="I244" s="444">
        <f>IF(D244="","",'Mx FORECAST'!DX182)</f>
        <v>7121102.4834401831</v>
      </c>
      <c r="J244" s="155">
        <f>IF(D244="","",'Mx FORECAST'!DP182)</f>
        <v>0</v>
      </c>
      <c r="K244" s="155">
        <f>IF(D244="","",'Mx FORECAST'!DQ182)</f>
        <v>0</v>
      </c>
      <c r="M244" s="155">
        <f>IF(D244="","",'Mx FORECAST'!DR182)</f>
        <v>0</v>
      </c>
      <c r="O244" s="155">
        <f>IF(D244="","",'Mx FORECAST'!DS182)</f>
        <v>0</v>
      </c>
      <c r="Q244" s="155">
        <f>IF(D244="","",'Mx FORECAST'!DT182)</f>
        <v>0</v>
      </c>
      <c r="S244" s="155">
        <f>IF(D244="","",'Mx FORECAST'!DU182)</f>
        <v>0</v>
      </c>
      <c r="U244" s="155">
        <f>IF(D244="","",'Mx FORECAST'!DV182)</f>
        <v>0</v>
      </c>
      <c r="W244" s="540">
        <f>IF(D244="","",'Mx FORECAST'!DY182)</f>
        <v>5680823.0165598169</v>
      </c>
      <c r="X244" s="540"/>
      <c r="Y244" s="437">
        <f>IF(D244="","",'Mx FORECAST'!DZ182)</f>
        <v>0.44374754536415767</v>
      </c>
      <c r="AD244" s="155"/>
      <c r="AF244" s="155"/>
      <c r="AH244" s="155"/>
      <c r="AJ244" s="155"/>
      <c r="BZ244" s="9"/>
      <c r="CA244" s="9"/>
      <c r="CB244" s="9"/>
      <c r="DM244" s="44"/>
      <c r="DN244" s="41"/>
      <c r="DO244" s="41"/>
      <c r="DP244" s="41"/>
      <c r="DQ244" s="42"/>
      <c r="DR244" s="42"/>
      <c r="DS244" s="42"/>
      <c r="DT244" s="42"/>
      <c r="DU244" s="42"/>
      <c r="DV244" s="42"/>
      <c r="DW244" s="42"/>
      <c r="DX244" s="42"/>
      <c r="DY244" s="42"/>
      <c r="DZ244" s="43"/>
      <c r="EA244" s="43"/>
      <c r="EB244" s="43"/>
      <c r="EC244" s="43"/>
      <c r="ED244" s="41"/>
      <c r="EE244" s="41"/>
      <c r="EF244" s="41"/>
      <c r="EG244" s="42"/>
      <c r="EH244" s="42"/>
      <c r="EI244" s="42"/>
      <c r="EJ244" s="42"/>
      <c r="EK244" s="42"/>
      <c r="EL244" s="42"/>
      <c r="EM244" s="42"/>
      <c r="EN244" s="42"/>
      <c r="EO244" s="42"/>
      <c r="EP244" s="43"/>
      <c r="EQ244" s="42"/>
      <c r="ER244" s="42"/>
      <c r="ES244" s="42"/>
      <c r="ET244" s="42"/>
      <c r="EU244" s="42"/>
      <c r="EV244" s="42"/>
      <c r="EW244" s="42"/>
      <c r="EX244" s="42"/>
      <c r="EY244" s="43"/>
      <c r="EZ244" s="43"/>
      <c r="FA244" s="43"/>
      <c r="FB244" s="42"/>
      <c r="FC244" s="42"/>
      <c r="FD244" s="41"/>
      <c r="FE244" s="41"/>
      <c r="FF244" s="42"/>
      <c r="FG244" s="42"/>
      <c r="FH244" s="42"/>
      <c r="FI244" s="42"/>
      <c r="FJ244" s="42"/>
      <c r="FN244" s="8"/>
      <c r="FO244" s="8"/>
      <c r="FP244" s="8"/>
      <c r="FQ244" s="8"/>
      <c r="FR244" s="8"/>
      <c r="FS244" s="8"/>
      <c r="FT244" s="8"/>
      <c r="FU244" s="8"/>
      <c r="GD244" s="78" t="str">
        <f t="shared" si="453"/>
        <v/>
      </c>
      <c r="GE244" s="309"/>
      <c r="GF244" s="309"/>
    </row>
    <row r="245" spans="2:188" x14ac:dyDescent="0.2">
      <c r="C245" s="426">
        <f t="shared" si="450"/>
        <v>46661</v>
      </c>
      <c r="D245" s="155">
        <f t="shared" si="451"/>
        <v>177</v>
      </c>
      <c r="E245" s="155">
        <f t="shared" si="454"/>
        <v>12801925.5</v>
      </c>
      <c r="F245" s="155"/>
      <c r="G245" s="438">
        <f t="shared" si="455"/>
        <v>164168.42521367522</v>
      </c>
      <c r="I245" s="444">
        <f>IF(D245="","",'Mx FORECAST'!DX183)</f>
        <v>7285270.908653859</v>
      </c>
      <c r="J245" s="155">
        <f>IF(D245="","",'Mx FORECAST'!DP183)</f>
        <v>0</v>
      </c>
      <c r="K245" s="155">
        <f>IF(D245="","",'Mx FORECAST'!DQ183)</f>
        <v>0</v>
      </c>
      <c r="M245" s="155">
        <f>IF(D245="","",'Mx FORECAST'!DR183)</f>
        <v>0</v>
      </c>
      <c r="O245" s="155">
        <f>IF(D245="","",'Mx FORECAST'!DS183)</f>
        <v>0</v>
      </c>
      <c r="Q245" s="155">
        <f>IF(D245="","",'Mx FORECAST'!DT183)</f>
        <v>0</v>
      </c>
      <c r="S245" s="155">
        <f>IF(D245="","",'Mx FORECAST'!DU183)</f>
        <v>0</v>
      </c>
      <c r="U245" s="155">
        <f>IF(D245="","",'Mx FORECAST'!DV183)</f>
        <v>0</v>
      </c>
      <c r="W245" s="540">
        <f>IF(D245="","",'Mx FORECAST'!DY183)</f>
        <v>5516654.591346141</v>
      </c>
      <c r="X245" s="540"/>
      <c r="Y245" s="437">
        <f>IF(D245="","",'Mx FORECAST'!DZ183)</f>
        <v>0.43092381621390791</v>
      </c>
      <c r="AD245" s="155"/>
      <c r="AF245" s="155"/>
      <c r="AH245" s="155"/>
      <c r="AJ245" s="155"/>
      <c r="BZ245" s="9"/>
      <c r="CA245" s="9"/>
      <c r="CB245" s="9"/>
      <c r="DM245" s="44"/>
      <c r="DN245" s="41"/>
      <c r="DO245" s="41"/>
      <c r="DP245" s="41"/>
      <c r="DQ245" s="42"/>
      <c r="DR245" s="42"/>
      <c r="DS245" s="42"/>
      <c r="DT245" s="42"/>
      <c r="DU245" s="42"/>
      <c r="DV245" s="42"/>
      <c r="DW245" s="42"/>
      <c r="DX245" s="42"/>
      <c r="DY245" s="42"/>
      <c r="DZ245" s="43"/>
      <c r="EA245" s="43"/>
      <c r="EB245" s="43"/>
      <c r="EC245" s="43"/>
      <c r="ED245" s="41"/>
      <c r="EE245" s="41"/>
      <c r="EF245" s="41"/>
      <c r="EG245" s="42"/>
      <c r="EH245" s="42"/>
      <c r="EI245" s="42"/>
      <c r="EJ245" s="42"/>
      <c r="EK245" s="42"/>
      <c r="EL245" s="42"/>
      <c r="EM245" s="42"/>
      <c r="EN245" s="42"/>
      <c r="EO245" s="42"/>
      <c r="EP245" s="43"/>
      <c r="EQ245" s="42"/>
      <c r="ER245" s="42"/>
      <c r="ES245" s="42"/>
      <c r="ET245" s="42"/>
      <c r="EU245" s="42"/>
      <c r="EV245" s="42"/>
      <c r="EW245" s="42"/>
      <c r="EX245" s="42"/>
      <c r="EY245" s="43"/>
      <c r="EZ245" s="43"/>
      <c r="FA245" s="43"/>
      <c r="FB245" s="42"/>
      <c r="FC245" s="42"/>
      <c r="FD245" s="41"/>
      <c r="FE245" s="41"/>
      <c r="FF245" s="42"/>
      <c r="FG245" s="42"/>
      <c r="FH245" s="42"/>
      <c r="FI245" s="42"/>
      <c r="FJ245" s="42"/>
      <c r="FN245" s="8"/>
      <c r="FO245" s="8"/>
      <c r="FP245" s="8"/>
      <c r="FQ245" s="8"/>
      <c r="FR245" s="8"/>
      <c r="FS245" s="8"/>
      <c r="FT245" s="8"/>
      <c r="FU245" s="8"/>
      <c r="GD245" s="78" t="str">
        <f t="shared" si="453"/>
        <v/>
      </c>
      <c r="GE245" s="309"/>
      <c r="GF245" s="309"/>
    </row>
    <row r="246" spans="2:188" x14ac:dyDescent="0.2">
      <c r="C246" s="426">
        <f t="shared" si="450"/>
        <v>46692</v>
      </c>
      <c r="D246" s="155">
        <f t="shared" si="451"/>
        <v>178</v>
      </c>
      <c r="E246" s="155">
        <f t="shared" si="454"/>
        <v>12801925.5</v>
      </c>
      <c r="F246" s="155"/>
      <c r="G246" s="438">
        <f t="shared" si="455"/>
        <v>164168.42521367522</v>
      </c>
      <c r="I246" s="444">
        <f>IF(D246="","",'Mx FORECAST'!DX184)</f>
        <v>7449439.333867535</v>
      </c>
      <c r="J246" s="155">
        <f>IF(D246="","",'Mx FORECAST'!DP184)</f>
        <v>0</v>
      </c>
      <c r="K246" s="155">
        <f>IF(D246="","",'Mx FORECAST'!DQ184)</f>
        <v>0</v>
      </c>
      <c r="M246" s="155">
        <f>IF(D246="","",'Mx FORECAST'!DR184)</f>
        <v>0</v>
      </c>
      <c r="O246" s="155">
        <f>IF(D246="","",'Mx FORECAST'!DS184)</f>
        <v>0</v>
      </c>
      <c r="Q246" s="155">
        <f>IF(D246="","",'Mx FORECAST'!DT184)</f>
        <v>0</v>
      </c>
      <c r="S246" s="155">
        <f>IF(D246="","",'Mx FORECAST'!DU184)</f>
        <v>0</v>
      </c>
      <c r="U246" s="155">
        <f>IF(D246="","",'Mx FORECAST'!DV184)</f>
        <v>0</v>
      </c>
      <c r="W246" s="540">
        <f>IF(D246="","",'Mx FORECAST'!DY184)</f>
        <v>5352486.166132465</v>
      </c>
      <c r="X246" s="540"/>
      <c r="Y246" s="437">
        <f>IF(D246="","",'Mx FORECAST'!DZ184)</f>
        <v>0.41810008706365814</v>
      </c>
      <c r="AD246" s="155"/>
      <c r="AF246" s="155"/>
      <c r="AH246" s="155"/>
      <c r="AJ246" s="155"/>
      <c r="BZ246" s="9"/>
      <c r="CA246" s="9"/>
      <c r="CB246" s="9"/>
      <c r="DM246" s="44"/>
      <c r="DN246" s="41"/>
      <c r="DO246" s="41"/>
      <c r="DP246" s="41"/>
      <c r="DQ246" s="42"/>
      <c r="DR246" s="42"/>
      <c r="DS246" s="42"/>
      <c r="DT246" s="42"/>
      <c r="DU246" s="42"/>
      <c r="DV246" s="42"/>
      <c r="DW246" s="42"/>
      <c r="DX246" s="42"/>
      <c r="DY246" s="42"/>
      <c r="DZ246" s="43"/>
      <c r="EA246" s="43"/>
      <c r="EB246" s="43"/>
      <c r="EC246" s="43"/>
      <c r="ED246" s="41"/>
      <c r="EE246" s="41"/>
      <c r="EF246" s="41"/>
      <c r="EG246" s="42"/>
      <c r="EH246" s="42"/>
      <c r="EI246" s="42"/>
      <c r="EJ246" s="42"/>
      <c r="EK246" s="42"/>
      <c r="EL246" s="42"/>
      <c r="EM246" s="42"/>
      <c r="EN246" s="42"/>
      <c r="EO246" s="42"/>
      <c r="EP246" s="43"/>
      <c r="EQ246" s="42"/>
      <c r="ER246" s="42"/>
      <c r="ES246" s="42"/>
      <c r="ET246" s="42"/>
      <c r="EU246" s="42"/>
      <c r="EV246" s="42"/>
      <c r="EW246" s="42"/>
      <c r="EX246" s="42"/>
      <c r="EY246" s="43"/>
      <c r="EZ246" s="43"/>
      <c r="FA246" s="43"/>
      <c r="FB246" s="42"/>
      <c r="FC246" s="42"/>
      <c r="FD246" s="41"/>
      <c r="FE246" s="41"/>
      <c r="FF246" s="42"/>
      <c r="FG246" s="42"/>
      <c r="FH246" s="42"/>
      <c r="FI246" s="42"/>
      <c r="FJ246" s="42"/>
      <c r="FN246" s="8"/>
      <c r="FO246" s="8"/>
      <c r="FP246" s="8"/>
      <c r="FQ246" s="8"/>
      <c r="FR246" s="8"/>
      <c r="FS246" s="8"/>
      <c r="FT246" s="8"/>
      <c r="FU246" s="8"/>
    </row>
    <row r="247" spans="2:188" x14ac:dyDescent="0.2">
      <c r="C247" s="426">
        <f t="shared" si="450"/>
        <v>46722</v>
      </c>
      <c r="D247" s="155">
        <f t="shared" si="451"/>
        <v>179</v>
      </c>
      <c r="E247" s="155">
        <f t="shared" si="454"/>
        <v>12801925.5</v>
      </c>
      <c r="F247" s="155"/>
      <c r="G247" s="438">
        <f t="shared" si="455"/>
        <v>164168.42521367522</v>
      </c>
      <c r="I247" s="444">
        <f>IF(D247="","",'Mx FORECAST'!DX185)</f>
        <v>7613607.7590812109</v>
      </c>
      <c r="J247" s="155">
        <f>IF(D247="","",'Mx FORECAST'!DP185)</f>
        <v>0</v>
      </c>
      <c r="K247" s="155">
        <f>IF(D247="","",'Mx FORECAST'!DQ185)</f>
        <v>0</v>
      </c>
      <c r="M247" s="155">
        <f>IF(D247="","",'Mx FORECAST'!DR185)</f>
        <v>0</v>
      </c>
      <c r="O247" s="155">
        <f>IF(D247="","",'Mx FORECAST'!DS185)</f>
        <v>0</v>
      </c>
      <c r="Q247" s="155">
        <f>IF(D247="","",'Mx FORECAST'!DT185)</f>
        <v>0</v>
      </c>
      <c r="S247" s="155">
        <f>IF(D247="","",'Mx FORECAST'!DU185)</f>
        <v>0</v>
      </c>
      <c r="U247" s="155">
        <f>IF(D247="","",'Mx FORECAST'!DV185)</f>
        <v>0</v>
      </c>
      <c r="W247" s="540">
        <f>IF(D247="","",'Mx FORECAST'!DY185)</f>
        <v>5188317.7409187891</v>
      </c>
      <c r="X247" s="540"/>
      <c r="Y247" s="437">
        <f>IF(D247="","",'Mx FORECAST'!DZ185)</f>
        <v>0.40527635791340832</v>
      </c>
      <c r="AD247" s="155"/>
      <c r="AF247" s="155"/>
      <c r="AH247" s="155"/>
      <c r="AJ247" s="155"/>
      <c r="BZ247" s="9"/>
      <c r="CA247" s="9"/>
      <c r="CB247" s="9"/>
      <c r="FN247" s="8"/>
      <c r="FO247" s="8"/>
      <c r="FP247" s="8"/>
      <c r="FQ247" s="8"/>
      <c r="FR247" s="8"/>
      <c r="FS247" s="8"/>
      <c r="FT247" s="8"/>
      <c r="FU247" s="8"/>
    </row>
    <row r="248" spans="2:188" x14ac:dyDescent="0.2">
      <c r="C248" s="426">
        <f t="shared" si="450"/>
        <v>46753</v>
      </c>
      <c r="D248" s="155">
        <f t="shared" si="451"/>
        <v>180</v>
      </c>
      <c r="E248" s="155">
        <f t="shared" si="454"/>
        <v>12801925.5</v>
      </c>
      <c r="F248" s="155"/>
      <c r="G248" s="438">
        <f t="shared" si="455"/>
        <v>164168.42521367522</v>
      </c>
      <c r="I248" s="444">
        <f>IF(D248="","",'Mx FORECAST'!DX186)</f>
        <v>7513296.1842948869</v>
      </c>
      <c r="J248" s="155">
        <f>IF(D248="","",'Mx FORECAST'!DP186)</f>
        <v>264480</v>
      </c>
      <c r="K248" s="155">
        <f>IF(D248="","",'Mx FORECAST'!DQ186)</f>
        <v>0</v>
      </c>
      <c r="M248" s="155">
        <f>IF(D248="","",'Mx FORECAST'!DR186)</f>
        <v>0</v>
      </c>
      <c r="O248" s="155">
        <f>IF(D248="","",'Mx FORECAST'!DS186)</f>
        <v>0</v>
      </c>
      <c r="Q248" s="155">
        <f>IF(D248="","",'Mx FORECAST'!DT186)</f>
        <v>0</v>
      </c>
      <c r="S248" s="155">
        <f>IF(D248="","",'Mx FORECAST'!DU186)</f>
        <v>0</v>
      </c>
      <c r="U248" s="155">
        <f>IF(D248="","",'Mx FORECAST'!DV186)</f>
        <v>0</v>
      </c>
      <c r="W248" s="540">
        <f>IF(D248="","",'Mx FORECAST'!DY186)</f>
        <v>5288629.3157051131</v>
      </c>
      <c r="X248" s="540"/>
      <c r="Y248" s="437">
        <f>IF(D248="","",'Mx FORECAST'!DZ186)</f>
        <v>0.41311202097724387</v>
      </c>
      <c r="AD248" s="155"/>
      <c r="AF248" s="155"/>
      <c r="AH248" s="155"/>
      <c r="AJ248" s="155"/>
      <c r="BZ248" s="9"/>
      <c r="CA248" s="9"/>
      <c r="CB248" s="9"/>
      <c r="FN248" s="8"/>
      <c r="FO248" s="8"/>
      <c r="FP248" s="8"/>
      <c r="FQ248" s="8"/>
      <c r="FR248" s="8"/>
      <c r="FS248" s="8"/>
      <c r="FT248" s="8"/>
      <c r="FU248" s="8"/>
    </row>
    <row r="249" spans="2:188" x14ac:dyDescent="0.2">
      <c r="B249" s="407"/>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AC249" s="9"/>
      <c r="AD249" s="9"/>
      <c r="AE249" s="9"/>
      <c r="AF249" s="9"/>
      <c r="AG249" s="9"/>
      <c r="AH249" s="9"/>
      <c r="AI249" s="9"/>
      <c r="BZ249" s="9"/>
      <c r="CA249" s="9"/>
      <c r="CB249" s="9"/>
      <c r="FN249" s="8"/>
      <c r="FO249" s="8"/>
      <c r="FP249" s="8"/>
      <c r="FQ249" s="8"/>
      <c r="FR249" s="8"/>
      <c r="FS249" s="8"/>
      <c r="FT249" s="8"/>
      <c r="FU249" s="8"/>
    </row>
    <row r="250" spans="2:188" hidden="1" x14ac:dyDescent="0.2">
      <c r="B250" s="407"/>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AC250" s="9"/>
      <c r="AD250" s="9"/>
      <c r="AE250" s="9"/>
      <c r="AF250" s="9"/>
      <c r="AG250" s="9"/>
      <c r="AH250" s="9"/>
      <c r="AI250" s="9"/>
      <c r="BZ250" s="9"/>
      <c r="CA250" s="9"/>
      <c r="CB250" s="9"/>
      <c r="FN250" s="8"/>
      <c r="FO250" s="8"/>
      <c r="FP250" s="8"/>
      <c r="FQ250" s="8"/>
      <c r="FR250" s="8"/>
      <c r="FS250" s="8"/>
      <c r="FT250" s="8"/>
      <c r="FU250" s="8"/>
    </row>
    <row r="251" spans="2:188" hidden="1" x14ac:dyDescent="0.2">
      <c r="B251" s="407"/>
      <c r="C251" s="412"/>
      <c r="D251" s="406"/>
      <c r="E251" s="406"/>
      <c r="F251" s="406"/>
      <c r="G251" s="406"/>
      <c r="H251" s="406"/>
      <c r="I251" s="406"/>
      <c r="J251" s="406"/>
      <c r="K251" s="406"/>
      <c r="L251" s="406"/>
      <c r="M251" s="406"/>
      <c r="N251" s="406"/>
      <c r="O251" s="406"/>
      <c r="P251" s="406"/>
      <c r="Q251" s="406"/>
      <c r="R251" s="406"/>
      <c r="S251" s="406"/>
      <c r="T251" s="406"/>
      <c r="U251" s="413"/>
      <c r="V251" s="52"/>
      <c r="W251" s="52"/>
      <c r="X251" s="414"/>
      <c r="Y251" s="415"/>
      <c r="AC251" s="9"/>
      <c r="AD251" s="9"/>
      <c r="AE251" s="9"/>
      <c r="AF251" s="9"/>
      <c r="AG251" s="9"/>
      <c r="AH251" s="9"/>
      <c r="AI251" s="9"/>
      <c r="BZ251" s="9"/>
      <c r="CA251" s="9"/>
      <c r="CB251" s="9"/>
      <c r="FN251" s="8"/>
      <c r="FO251" s="8"/>
      <c r="FP251" s="8"/>
      <c r="FQ251" s="8"/>
      <c r="FR251" s="8"/>
      <c r="FS251" s="8"/>
      <c r="FT251" s="8"/>
      <c r="FU251" s="8"/>
    </row>
    <row r="252" spans="2:188" hidden="1" x14ac:dyDescent="0.2">
      <c r="B252" s="407"/>
      <c r="C252" s="412"/>
      <c r="D252" s="406"/>
      <c r="E252" s="406"/>
      <c r="F252" s="406"/>
      <c r="G252" s="406"/>
      <c r="H252" s="406"/>
      <c r="I252" s="406"/>
      <c r="J252" s="406"/>
      <c r="K252" s="406"/>
      <c r="L252" s="406"/>
      <c r="M252" s="406"/>
      <c r="N252" s="406"/>
      <c r="O252" s="406"/>
      <c r="P252" s="406"/>
      <c r="Q252" s="406"/>
      <c r="R252" s="406"/>
      <c r="S252" s="406"/>
      <c r="T252" s="406"/>
      <c r="U252" s="413"/>
      <c r="V252" s="52"/>
      <c r="W252" s="52"/>
      <c r="X252" s="414"/>
      <c r="Y252" s="415"/>
      <c r="AC252" s="9"/>
      <c r="AD252" s="9"/>
      <c r="AE252" s="9"/>
      <c r="AF252" s="9"/>
      <c r="AG252" s="9"/>
      <c r="AH252" s="9"/>
      <c r="AI252" s="9"/>
      <c r="BZ252" s="9"/>
      <c r="CA252" s="9"/>
      <c r="CB252" s="9"/>
      <c r="FN252" s="8"/>
      <c r="FO252" s="8"/>
      <c r="FP252" s="8"/>
      <c r="FQ252" s="8"/>
      <c r="FR252" s="8"/>
      <c r="FS252" s="8"/>
      <c r="FT252" s="8"/>
      <c r="FU252" s="8"/>
    </row>
    <row r="253" spans="2:188" hidden="1" x14ac:dyDescent="0.2">
      <c r="B253" s="407"/>
      <c r="C253" s="412"/>
      <c r="D253" s="406"/>
      <c r="E253" s="406"/>
      <c r="F253" s="406"/>
      <c r="G253" s="406"/>
      <c r="H253" s="406"/>
      <c r="I253" s="406"/>
      <c r="J253" s="406"/>
      <c r="K253" s="406"/>
      <c r="L253" s="406"/>
      <c r="M253" s="406"/>
      <c r="N253" s="406"/>
      <c r="O253" s="406"/>
      <c r="P253" s="406"/>
      <c r="Q253" s="406"/>
      <c r="R253" s="406"/>
      <c r="S253" s="406"/>
      <c r="T253" s="406"/>
      <c r="U253" s="413"/>
      <c r="V253" s="52"/>
      <c r="W253" s="52"/>
      <c r="X253" s="414"/>
      <c r="Y253" s="415"/>
      <c r="AC253" s="9"/>
      <c r="AD253" s="9"/>
      <c r="AE253" s="9"/>
      <c r="AF253" s="9"/>
      <c r="AG253" s="9"/>
      <c r="AH253" s="9"/>
      <c r="AI253" s="9"/>
      <c r="BZ253" s="9"/>
      <c r="CA253" s="9"/>
      <c r="CB253" s="9"/>
      <c r="FN253" s="8"/>
      <c r="FO253" s="8"/>
      <c r="FP253" s="8"/>
      <c r="FQ253" s="8"/>
      <c r="FR253" s="8"/>
      <c r="FS253" s="8"/>
      <c r="FT253" s="8"/>
      <c r="FU253" s="8"/>
    </row>
    <row r="254" spans="2:188" hidden="1" x14ac:dyDescent="0.2">
      <c r="B254" s="407"/>
      <c r="C254" s="412"/>
      <c r="D254" s="406"/>
      <c r="E254" s="406"/>
      <c r="F254" s="406"/>
      <c r="G254" s="406"/>
      <c r="H254" s="406"/>
      <c r="I254" s="406"/>
      <c r="J254" s="406"/>
      <c r="K254" s="406"/>
      <c r="L254" s="406"/>
      <c r="M254" s="406"/>
      <c r="N254" s="406"/>
      <c r="O254" s="406"/>
      <c r="P254" s="406"/>
      <c r="Q254" s="406"/>
      <c r="R254" s="406"/>
      <c r="S254" s="406"/>
      <c r="T254" s="406"/>
      <c r="U254" s="413"/>
      <c r="V254" s="52"/>
      <c r="W254" s="52"/>
      <c r="X254" s="414"/>
      <c r="Y254" s="415"/>
      <c r="AC254" s="9"/>
      <c r="AD254" s="9"/>
      <c r="AE254" s="9"/>
      <c r="AF254" s="9"/>
      <c r="AG254" s="9"/>
      <c r="AH254" s="9"/>
      <c r="AI254" s="9"/>
      <c r="BZ254" s="9"/>
      <c r="CA254" s="9"/>
      <c r="CB254" s="9"/>
      <c r="FN254" s="8"/>
      <c r="FO254" s="8"/>
      <c r="FP254" s="8"/>
      <c r="FQ254" s="8"/>
      <c r="FR254" s="8"/>
      <c r="FS254" s="8"/>
      <c r="FT254" s="8"/>
      <c r="FU254" s="8"/>
    </row>
    <row r="255" spans="2:188" hidden="1" x14ac:dyDescent="0.2">
      <c r="B255" s="407"/>
      <c r="C255" s="412"/>
      <c r="D255" s="406"/>
      <c r="E255" s="406"/>
      <c r="F255" s="406"/>
      <c r="G255" s="406"/>
      <c r="H255" s="406"/>
      <c r="I255" s="406"/>
      <c r="J255" s="406"/>
      <c r="K255" s="406"/>
      <c r="L255" s="406"/>
      <c r="M255" s="406"/>
      <c r="N255" s="406"/>
      <c r="O255" s="406"/>
      <c r="P255" s="406"/>
      <c r="Q255" s="406"/>
      <c r="R255" s="406"/>
      <c r="S255" s="406"/>
      <c r="T255" s="406"/>
      <c r="U255" s="413"/>
      <c r="V255" s="52"/>
      <c r="W255" s="52"/>
      <c r="X255" s="414"/>
      <c r="Y255" s="415"/>
      <c r="AC255" s="9"/>
      <c r="AD255" s="9"/>
      <c r="AE255" s="9"/>
      <c r="AF255" s="9"/>
      <c r="AG255" s="9"/>
      <c r="AH255" s="9"/>
      <c r="AI255" s="9"/>
      <c r="BZ255" s="9"/>
      <c r="CA255" s="9"/>
      <c r="CB255" s="9"/>
      <c r="DB255" s="9"/>
      <c r="FN255" s="8"/>
      <c r="FO255" s="8"/>
      <c r="FP255" s="8"/>
      <c r="FQ255" s="8"/>
      <c r="FR255" s="8"/>
      <c r="FS255" s="8"/>
      <c r="FT255" s="8"/>
      <c r="FU255" s="8"/>
    </row>
    <row r="256" spans="2:188" hidden="1" x14ac:dyDescent="0.2">
      <c r="B256" s="407"/>
      <c r="C256" s="412"/>
      <c r="D256" s="406"/>
      <c r="E256" s="406"/>
      <c r="F256" s="406"/>
      <c r="G256" s="406"/>
      <c r="H256" s="406"/>
      <c r="I256" s="406"/>
      <c r="J256" s="406"/>
      <c r="K256" s="406"/>
      <c r="L256" s="406"/>
      <c r="M256" s="406"/>
      <c r="N256" s="406"/>
      <c r="O256" s="406"/>
      <c r="P256" s="406"/>
      <c r="Q256" s="406"/>
      <c r="R256" s="406"/>
      <c r="S256" s="406"/>
      <c r="T256" s="406"/>
      <c r="U256" s="413"/>
      <c r="V256" s="52"/>
      <c r="W256" s="52"/>
      <c r="X256" s="414"/>
      <c r="Y256" s="415"/>
      <c r="AC256" s="9"/>
      <c r="AD256" s="9"/>
      <c r="AE256" s="9"/>
      <c r="AF256" s="9"/>
      <c r="AG256" s="9"/>
      <c r="AH256" s="9"/>
      <c r="AI256" s="9"/>
      <c r="BZ256" s="9"/>
      <c r="CA256" s="9"/>
      <c r="CB256" s="9"/>
      <c r="DB256" s="9"/>
      <c r="FN256" s="8"/>
      <c r="FO256" s="8"/>
      <c r="FP256" s="8"/>
      <c r="FQ256" s="8"/>
      <c r="FR256" s="8"/>
      <c r="FS256" s="8"/>
      <c r="FT256" s="8"/>
      <c r="FU256" s="8"/>
    </row>
    <row r="257" spans="2:177" hidden="1" x14ac:dyDescent="0.2">
      <c r="B257" s="407"/>
      <c r="C257" s="412"/>
      <c r="D257" s="406"/>
      <c r="E257" s="406"/>
      <c r="F257" s="406"/>
      <c r="G257" s="406"/>
      <c r="H257" s="406"/>
      <c r="I257" s="406"/>
      <c r="J257" s="406"/>
      <c r="K257" s="406"/>
      <c r="L257" s="406"/>
      <c r="M257" s="406"/>
      <c r="N257" s="406"/>
      <c r="O257" s="406"/>
      <c r="P257" s="406"/>
      <c r="Q257" s="406"/>
      <c r="R257" s="406"/>
      <c r="S257" s="406"/>
      <c r="T257" s="406"/>
      <c r="U257" s="413"/>
      <c r="V257" s="52"/>
      <c r="W257" s="52"/>
      <c r="X257" s="414"/>
      <c r="Y257" s="415"/>
      <c r="AC257" s="9"/>
      <c r="AD257" s="9"/>
      <c r="AE257" s="9"/>
      <c r="AF257" s="9"/>
      <c r="AG257" s="9"/>
      <c r="AH257" s="9"/>
      <c r="AI257" s="9"/>
      <c r="BZ257" s="9"/>
      <c r="CA257" s="9"/>
      <c r="CB257" s="9"/>
      <c r="DB257" s="9"/>
      <c r="FN257" s="8"/>
      <c r="FO257" s="8"/>
      <c r="FP257" s="8"/>
      <c r="FQ257" s="8"/>
      <c r="FR257" s="8"/>
      <c r="FS257" s="8"/>
      <c r="FT257" s="8"/>
      <c r="FU257" s="8"/>
    </row>
    <row r="258" spans="2:177" hidden="1" x14ac:dyDescent="0.2">
      <c r="B258" s="407"/>
      <c r="C258" s="412"/>
      <c r="D258" s="406"/>
      <c r="E258" s="406"/>
      <c r="F258" s="406"/>
      <c r="G258" s="406"/>
      <c r="H258" s="406"/>
      <c r="I258" s="406"/>
      <c r="J258" s="406"/>
      <c r="K258" s="406"/>
      <c r="L258" s="406"/>
      <c r="M258" s="406"/>
      <c r="N258" s="406"/>
      <c r="O258" s="406"/>
      <c r="P258" s="406"/>
      <c r="Q258" s="406"/>
      <c r="R258" s="406"/>
      <c r="S258" s="406"/>
      <c r="T258" s="406"/>
      <c r="U258" s="413"/>
      <c r="V258" s="52"/>
      <c r="W258" s="52"/>
      <c r="X258" s="414"/>
      <c r="Y258" s="415"/>
      <c r="AC258" s="9"/>
      <c r="AD258" s="9"/>
      <c r="AE258" s="9"/>
      <c r="AF258" s="9"/>
      <c r="AG258" s="9"/>
      <c r="AH258" s="9"/>
      <c r="AI258" s="9"/>
      <c r="BZ258" s="9"/>
      <c r="CA258" s="9"/>
      <c r="CB258" s="9"/>
      <c r="DB258" s="9"/>
      <c r="FN258" s="8"/>
      <c r="FO258" s="8"/>
      <c r="FP258" s="8"/>
      <c r="FQ258" s="8"/>
      <c r="FR258" s="8"/>
      <c r="FS258" s="8"/>
      <c r="FT258" s="8"/>
      <c r="FU258" s="8"/>
    </row>
    <row r="259" spans="2:177" hidden="1" x14ac:dyDescent="0.2">
      <c r="B259" s="407"/>
      <c r="C259" s="412"/>
      <c r="D259" s="406"/>
      <c r="E259" s="406"/>
      <c r="F259" s="406"/>
      <c r="G259" s="406"/>
      <c r="H259" s="406"/>
      <c r="I259" s="406"/>
      <c r="J259" s="406"/>
      <c r="K259" s="406"/>
      <c r="L259" s="406"/>
      <c r="M259" s="406"/>
      <c r="N259" s="406"/>
      <c r="O259" s="406"/>
      <c r="P259" s="406"/>
      <c r="Q259" s="406"/>
      <c r="R259" s="406"/>
      <c r="S259" s="406"/>
      <c r="T259" s="406"/>
      <c r="U259" s="413"/>
      <c r="V259" s="52"/>
      <c r="W259" s="52"/>
      <c r="X259" s="414"/>
      <c r="Y259" s="415"/>
      <c r="AC259" s="9"/>
      <c r="AD259" s="9"/>
      <c r="AE259" s="9"/>
      <c r="AF259" s="9"/>
      <c r="AG259" s="9"/>
      <c r="AH259" s="9"/>
      <c r="AI259" s="9"/>
      <c r="BZ259" s="9"/>
      <c r="CA259" s="9"/>
      <c r="CB259" s="9"/>
      <c r="DB259" s="9"/>
      <c r="FN259" s="8"/>
      <c r="FO259" s="8"/>
      <c r="FP259" s="8"/>
      <c r="FQ259" s="8"/>
      <c r="FR259" s="8"/>
      <c r="FS259" s="8"/>
      <c r="FT259" s="8"/>
      <c r="FU259" s="8"/>
    </row>
    <row r="260" spans="2:177" hidden="1" x14ac:dyDescent="0.2">
      <c r="B260" s="407"/>
      <c r="C260" s="412"/>
      <c r="D260" s="406"/>
      <c r="E260" s="406"/>
      <c r="F260" s="406"/>
      <c r="G260" s="406"/>
      <c r="H260" s="406"/>
      <c r="I260" s="406"/>
      <c r="J260" s="406"/>
      <c r="K260" s="406"/>
      <c r="L260" s="406"/>
      <c r="M260" s="406"/>
      <c r="N260" s="406"/>
      <c r="O260" s="406"/>
      <c r="P260" s="406"/>
      <c r="Q260" s="406"/>
      <c r="R260" s="406"/>
      <c r="S260" s="406"/>
      <c r="T260" s="406"/>
      <c r="U260" s="413"/>
      <c r="V260" s="52"/>
      <c r="W260" s="52"/>
      <c r="X260" s="414"/>
      <c r="Y260" s="415"/>
      <c r="AC260" s="9"/>
      <c r="AD260" s="9"/>
      <c r="AE260" s="9"/>
      <c r="AF260" s="9"/>
      <c r="AG260" s="9"/>
      <c r="AH260" s="9"/>
      <c r="AI260" s="9"/>
      <c r="BZ260" s="9"/>
      <c r="CA260" s="9"/>
      <c r="CB260" s="9"/>
      <c r="DB260" s="9"/>
      <c r="FN260" s="8"/>
      <c r="FO260" s="8"/>
      <c r="FP260" s="8"/>
      <c r="FQ260" s="8"/>
      <c r="FR260" s="8"/>
      <c r="FS260" s="8"/>
      <c r="FT260" s="8"/>
      <c r="FU260" s="8"/>
    </row>
    <row r="261" spans="2:177" hidden="1" x14ac:dyDescent="0.2">
      <c r="C261" s="79"/>
      <c r="D261" s="77"/>
      <c r="E261" s="77"/>
      <c r="F261" s="77"/>
      <c r="G261" s="77"/>
      <c r="H261" s="77"/>
      <c r="I261" s="77"/>
      <c r="J261" s="77"/>
      <c r="K261" s="77"/>
      <c r="L261" s="77"/>
      <c r="M261" s="77"/>
      <c r="N261" s="77"/>
      <c r="O261" s="77"/>
      <c r="P261" s="77"/>
      <c r="Q261" s="77"/>
      <c r="R261" s="77"/>
      <c r="S261" s="77"/>
      <c r="T261" s="77"/>
      <c r="U261" s="42"/>
      <c r="X261" s="80"/>
      <c r="Y261" s="81"/>
      <c r="AC261" s="9"/>
      <c r="AD261" s="9"/>
      <c r="AE261" s="9"/>
      <c r="AF261" s="9"/>
      <c r="AG261" s="9"/>
      <c r="AH261" s="9"/>
      <c r="AI261" s="9"/>
      <c r="BZ261" s="9"/>
      <c r="CA261" s="9"/>
      <c r="CB261" s="9"/>
      <c r="DB261" s="9"/>
      <c r="FN261" s="8"/>
      <c r="FO261" s="8"/>
      <c r="FP261" s="8"/>
      <c r="FQ261" s="8"/>
      <c r="FR261" s="8"/>
      <c r="FS261" s="8"/>
      <c r="FT261" s="8"/>
      <c r="FU261" s="8"/>
    </row>
    <row r="262" spans="2:177" hidden="1" x14ac:dyDescent="0.2">
      <c r="C262" s="79"/>
      <c r="D262" s="77"/>
      <c r="E262" s="77"/>
      <c r="F262" s="77"/>
      <c r="G262" s="77"/>
      <c r="H262" s="77"/>
      <c r="I262" s="77"/>
      <c r="J262" s="77"/>
      <c r="K262" s="77"/>
      <c r="L262" s="77"/>
      <c r="M262" s="77"/>
      <c r="N262" s="77"/>
      <c r="O262" s="77"/>
      <c r="P262" s="77"/>
      <c r="Q262" s="77"/>
      <c r="R262" s="77"/>
      <c r="S262" s="77"/>
      <c r="T262" s="77"/>
      <c r="U262" s="42"/>
      <c r="X262" s="80"/>
      <c r="Y262" s="81"/>
      <c r="AC262" s="9"/>
      <c r="AD262" s="9"/>
      <c r="AE262" s="9"/>
      <c r="AF262" s="9"/>
      <c r="AG262" s="9"/>
      <c r="AH262" s="9"/>
      <c r="AI262" s="9"/>
      <c r="BZ262" s="9"/>
      <c r="CA262" s="9"/>
      <c r="CB262" s="9"/>
      <c r="DB262" s="9"/>
      <c r="FN262" s="8"/>
      <c r="FO262" s="8"/>
      <c r="FP262" s="8"/>
      <c r="FQ262" s="8"/>
      <c r="FR262" s="8"/>
      <c r="FS262" s="8"/>
      <c r="FT262" s="8"/>
      <c r="FU262" s="8"/>
    </row>
    <row r="263" spans="2:177" hidden="1" x14ac:dyDescent="0.2">
      <c r="C263" s="79"/>
      <c r="D263" s="77"/>
      <c r="E263" s="77"/>
      <c r="F263" s="77"/>
      <c r="G263" s="77"/>
      <c r="H263" s="77"/>
      <c r="I263" s="77"/>
      <c r="J263" s="77"/>
      <c r="K263" s="77"/>
      <c r="L263" s="77"/>
      <c r="M263" s="77"/>
      <c r="N263" s="77"/>
      <c r="O263" s="77"/>
      <c r="P263" s="77"/>
      <c r="Q263" s="77"/>
      <c r="R263" s="77"/>
      <c r="S263" s="77"/>
      <c r="T263" s="77"/>
      <c r="U263" s="42"/>
      <c r="X263" s="80"/>
      <c r="Y263" s="81"/>
      <c r="AC263" s="9"/>
      <c r="AD263" s="9"/>
      <c r="AE263" s="9"/>
      <c r="AF263" s="9"/>
      <c r="AG263" s="9"/>
      <c r="AH263" s="9"/>
      <c r="AI263" s="9"/>
      <c r="BZ263" s="9"/>
      <c r="CA263" s="9"/>
      <c r="CB263" s="9"/>
      <c r="DB263" s="9"/>
      <c r="FN263" s="8"/>
      <c r="FO263" s="8"/>
      <c r="FP263" s="8"/>
      <c r="FQ263" s="8"/>
      <c r="FR263" s="8"/>
      <c r="FS263" s="8"/>
      <c r="FT263" s="8"/>
      <c r="FU263" s="8"/>
    </row>
    <row r="264" spans="2:177" hidden="1" x14ac:dyDescent="0.2">
      <c r="C264" s="79"/>
      <c r="D264" s="77"/>
      <c r="E264" s="77"/>
      <c r="F264" s="77"/>
      <c r="G264" s="77"/>
      <c r="H264" s="77"/>
      <c r="I264" s="77"/>
      <c r="J264" s="77"/>
      <c r="K264" s="77"/>
      <c r="L264" s="77"/>
      <c r="M264" s="77"/>
      <c r="N264" s="77"/>
      <c r="O264" s="77"/>
      <c r="P264" s="77"/>
      <c r="Q264" s="77"/>
      <c r="R264" s="77"/>
      <c r="S264" s="77"/>
      <c r="T264" s="77"/>
      <c r="U264" s="42"/>
      <c r="X264" s="80"/>
      <c r="Y264" s="81"/>
      <c r="AC264" s="9"/>
      <c r="AD264" s="9"/>
      <c r="AE264" s="9"/>
      <c r="AF264" s="9"/>
      <c r="AG264" s="9"/>
      <c r="AH264" s="9"/>
      <c r="AI264" s="9"/>
      <c r="BZ264" s="9"/>
      <c r="CA264" s="9"/>
      <c r="CB264" s="9"/>
      <c r="DB264" s="9"/>
      <c r="FN264" s="8"/>
      <c r="FO264" s="8"/>
      <c r="FP264" s="8"/>
      <c r="FQ264" s="8"/>
      <c r="FR264" s="8"/>
      <c r="FS264" s="8"/>
      <c r="FT264" s="8"/>
      <c r="FU264" s="8"/>
    </row>
    <row r="265" spans="2:177" hidden="1" x14ac:dyDescent="0.2">
      <c r="C265" s="79"/>
      <c r="D265" s="77"/>
      <c r="E265" s="77"/>
      <c r="F265" s="77"/>
      <c r="G265" s="77"/>
      <c r="H265" s="77"/>
      <c r="I265" s="77"/>
      <c r="J265" s="77"/>
      <c r="K265" s="77"/>
      <c r="L265" s="77"/>
      <c r="M265" s="77"/>
      <c r="N265" s="77"/>
      <c r="O265" s="77"/>
      <c r="P265" s="77"/>
      <c r="Q265" s="77"/>
      <c r="R265" s="77"/>
      <c r="S265" s="77"/>
      <c r="T265" s="77"/>
      <c r="U265" s="42"/>
      <c r="X265" s="80"/>
      <c r="Y265" s="81"/>
      <c r="AC265" s="9"/>
      <c r="AD265" s="9"/>
      <c r="AE265" s="9"/>
      <c r="AF265" s="9"/>
      <c r="AG265" s="9"/>
      <c r="AH265" s="9"/>
      <c r="AI265" s="9"/>
      <c r="BZ265" s="9"/>
      <c r="CA265" s="9"/>
      <c r="CB265" s="9"/>
      <c r="DB265" s="9"/>
      <c r="FN265" s="8"/>
      <c r="FO265" s="8"/>
      <c r="FP265" s="8"/>
      <c r="FQ265" s="8"/>
      <c r="FR265" s="8"/>
      <c r="FS265" s="8"/>
      <c r="FT265" s="8"/>
      <c r="FU265" s="8"/>
    </row>
    <row r="266" spans="2:177" hidden="1" x14ac:dyDescent="0.2">
      <c r="C266" s="79"/>
      <c r="D266" s="77"/>
      <c r="E266" s="77"/>
      <c r="F266" s="77"/>
      <c r="G266" s="77"/>
      <c r="H266" s="77"/>
      <c r="I266" s="77"/>
      <c r="J266" s="77"/>
      <c r="K266" s="77"/>
      <c r="L266" s="77"/>
      <c r="M266" s="77"/>
      <c r="N266" s="77"/>
      <c r="O266" s="77"/>
      <c r="P266" s="77"/>
      <c r="Q266" s="77"/>
      <c r="R266" s="77"/>
      <c r="S266" s="77"/>
      <c r="T266" s="77"/>
      <c r="U266" s="42"/>
      <c r="X266" s="80"/>
      <c r="Y266" s="81"/>
      <c r="AC266" s="9"/>
      <c r="AD266" s="9"/>
      <c r="AE266" s="9"/>
      <c r="AF266" s="9"/>
      <c r="AG266" s="9"/>
      <c r="AH266" s="9"/>
      <c r="AI266" s="9"/>
      <c r="BZ266" s="9"/>
      <c r="CA266" s="9"/>
      <c r="CB266" s="9"/>
      <c r="DB266" s="9"/>
      <c r="FN266" s="8"/>
      <c r="FO266" s="8"/>
      <c r="FP266" s="8"/>
      <c r="FQ266" s="8"/>
      <c r="FR266" s="8"/>
      <c r="FS266" s="8"/>
      <c r="FT266" s="8"/>
      <c r="FU266" s="8"/>
    </row>
    <row r="267" spans="2:177" hidden="1" x14ac:dyDescent="0.2">
      <c r="C267" s="79"/>
      <c r="D267" s="77"/>
      <c r="E267" s="77"/>
      <c r="F267" s="77"/>
      <c r="G267" s="77"/>
      <c r="H267" s="77"/>
      <c r="I267" s="77"/>
      <c r="J267" s="77"/>
      <c r="K267" s="77"/>
      <c r="L267" s="77"/>
      <c r="M267" s="77"/>
      <c r="N267" s="77"/>
      <c r="O267" s="77"/>
      <c r="P267" s="77"/>
      <c r="Q267" s="77"/>
      <c r="R267" s="77"/>
      <c r="S267" s="77"/>
      <c r="T267" s="77"/>
      <c r="U267" s="42"/>
      <c r="X267" s="80"/>
      <c r="Y267" s="81"/>
      <c r="AC267" s="9"/>
      <c r="AD267" s="9"/>
      <c r="AE267" s="9"/>
      <c r="AF267" s="9"/>
      <c r="AG267" s="9"/>
      <c r="AH267" s="9"/>
      <c r="AI267" s="9"/>
      <c r="BZ267" s="9"/>
      <c r="CA267" s="9"/>
      <c r="CB267" s="9"/>
      <c r="DB267" s="9"/>
      <c r="FN267" s="8"/>
      <c r="FO267" s="8"/>
      <c r="FP267" s="8"/>
      <c r="FQ267" s="8"/>
      <c r="FR267" s="8"/>
      <c r="FS267" s="8"/>
      <c r="FT267" s="8"/>
      <c r="FU267" s="8"/>
    </row>
    <row r="268" spans="2:177" hidden="1" x14ac:dyDescent="0.2">
      <c r="C268" s="79"/>
      <c r="D268" s="77"/>
      <c r="E268" s="77"/>
      <c r="F268" s="77"/>
      <c r="G268" s="77"/>
      <c r="H268" s="77"/>
      <c r="I268" s="77"/>
      <c r="J268" s="77"/>
      <c r="K268" s="77"/>
      <c r="L268" s="77"/>
      <c r="M268" s="77"/>
      <c r="N268" s="77"/>
      <c r="O268" s="77"/>
      <c r="P268" s="77"/>
      <c r="Q268" s="77"/>
      <c r="R268" s="77"/>
      <c r="S268" s="77"/>
      <c r="T268" s="77"/>
      <c r="U268" s="42"/>
      <c r="X268" s="80"/>
      <c r="Y268" s="81"/>
      <c r="AC268" s="9"/>
      <c r="AD268" s="9"/>
      <c r="AE268" s="9"/>
      <c r="AF268" s="9"/>
      <c r="AG268" s="9"/>
      <c r="AH268" s="9"/>
      <c r="AI268" s="9"/>
      <c r="BZ268" s="9"/>
      <c r="CA268" s="9"/>
      <c r="CB268" s="9"/>
      <c r="DB268" s="9"/>
      <c r="FN268" s="8"/>
      <c r="FO268" s="8"/>
      <c r="FP268" s="8"/>
      <c r="FQ268" s="8"/>
      <c r="FR268" s="8"/>
      <c r="FS268" s="8"/>
      <c r="FT268" s="8"/>
      <c r="FU268" s="8"/>
    </row>
    <row r="269" spans="2:177" hidden="1" x14ac:dyDescent="0.2">
      <c r="C269" s="79"/>
      <c r="D269" s="77"/>
      <c r="E269" s="77"/>
      <c r="F269" s="77"/>
      <c r="G269" s="77"/>
      <c r="H269" s="77"/>
      <c r="I269" s="77"/>
      <c r="J269" s="77"/>
      <c r="K269" s="77"/>
      <c r="L269" s="77"/>
      <c r="M269" s="77"/>
      <c r="N269" s="77"/>
      <c r="O269" s="77"/>
      <c r="P269" s="77"/>
      <c r="Q269" s="77"/>
      <c r="R269" s="77"/>
      <c r="S269" s="77"/>
      <c r="T269" s="77"/>
      <c r="U269" s="42"/>
      <c r="X269" s="80"/>
      <c r="Y269" s="81"/>
      <c r="AC269" s="9"/>
      <c r="AD269" s="9"/>
      <c r="AE269" s="9"/>
      <c r="AF269" s="9"/>
      <c r="AG269" s="9"/>
      <c r="AH269" s="9"/>
      <c r="AI269" s="9"/>
      <c r="BZ269" s="9"/>
      <c r="CA269" s="9"/>
      <c r="CB269" s="9"/>
      <c r="DB269" s="9"/>
      <c r="FN269" s="8"/>
      <c r="FO269" s="8"/>
      <c r="FP269" s="8"/>
      <c r="FQ269" s="8"/>
      <c r="FR269" s="8"/>
      <c r="FS269" s="8"/>
      <c r="FT269" s="8"/>
      <c r="FU269" s="8"/>
    </row>
    <row r="270" spans="2:177" hidden="1" x14ac:dyDescent="0.2">
      <c r="C270" s="79"/>
      <c r="D270" s="77"/>
      <c r="E270" s="77"/>
      <c r="F270" s="77"/>
      <c r="G270" s="77"/>
      <c r="H270" s="77"/>
      <c r="I270" s="77"/>
      <c r="J270" s="77"/>
      <c r="K270" s="77"/>
      <c r="L270" s="77"/>
      <c r="M270" s="77"/>
      <c r="N270" s="77"/>
      <c r="O270" s="77"/>
      <c r="P270" s="77"/>
      <c r="Q270" s="77"/>
      <c r="R270" s="77"/>
      <c r="S270" s="77"/>
      <c r="T270" s="77"/>
      <c r="U270" s="42"/>
      <c r="X270" s="80"/>
      <c r="Y270" s="81"/>
      <c r="AC270" s="9"/>
      <c r="AD270" s="9"/>
      <c r="AE270" s="9"/>
      <c r="AF270" s="9"/>
      <c r="AG270" s="9"/>
      <c r="AH270" s="9"/>
      <c r="AI270" s="9"/>
      <c r="BZ270" s="9"/>
      <c r="CA270" s="9"/>
      <c r="CB270" s="9"/>
      <c r="DB270" s="9"/>
      <c r="FN270" s="8"/>
      <c r="FO270" s="8"/>
      <c r="FP270" s="8"/>
      <c r="FQ270" s="8"/>
      <c r="FR270" s="8"/>
      <c r="FS270" s="8"/>
      <c r="FT270" s="8"/>
      <c r="FU270" s="8"/>
    </row>
    <row r="271" spans="2:177" hidden="1" x14ac:dyDescent="0.2">
      <c r="C271" s="79"/>
      <c r="D271" s="77"/>
      <c r="E271" s="77"/>
      <c r="F271" s="77"/>
      <c r="G271" s="77"/>
      <c r="H271" s="77"/>
      <c r="I271" s="77"/>
      <c r="J271" s="77"/>
      <c r="K271" s="77"/>
      <c r="L271" s="77"/>
      <c r="M271" s="77"/>
      <c r="N271" s="77"/>
      <c r="O271" s="77"/>
      <c r="P271" s="77"/>
      <c r="Q271" s="77"/>
      <c r="R271" s="77"/>
      <c r="S271" s="77"/>
      <c r="T271" s="77"/>
      <c r="U271" s="42"/>
      <c r="X271" s="80"/>
      <c r="Y271" s="81"/>
      <c r="AC271" s="9"/>
      <c r="AD271" s="9"/>
      <c r="AE271" s="9"/>
      <c r="AF271" s="9"/>
      <c r="AG271" s="9"/>
      <c r="AH271" s="9"/>
      <c r="AI271" s="9"/>
      <c r="BZ271" s="9"/>
      <c r="CA271" s="9"/>
      <c r="CB271" s="9"/>
      <c r="DB271" s="9"/>
      <c r="FN271" s="8"/>
      <c r="FO271" s="8"/>
      <c r="FP271" s="8"/>
      <c r="FQ271" s="8"/>
      <c r="FR271" s="8"/>
      <c r="FS271" s="8"/>
      <c r="FT271" s="8"/>
      <c r="FU271" s="8"/>
    </row>
    <row r="272" spans="2:177" hidden="1" x14ac:dyDescent="0.2">
      <c r="C272" s="79"/>
      <c r="D272" s="77"/>
      <c r="E272" s="77"/>
      <c r="F272" s="77"/>
      <c r="G272" s="77"/>
      <c r="H272" s="77"/>
      <c r="I272" s="77"/>
      <c r="J272" s="77"/>
      <c r="K272" s="77"/>
      <c r="L272" s="77"/>
      <c r="M272" s="77"/>
      <c r="N272" s="77"/>
      <c r="O272" s="77"/>
      <c r="P272" s="77"/>
      <c r="Q272" s="77"/>
      <c r="R272" s="77"/>
      <c r="S272" s="77"/>
      <c r="T272" s="77"/>
      <c r="U272" s="42"/>
      <c r="X272" s="80"/>
      <c r="Y272" s="81"/>
      <c r="AC272" s="9"/>
      <c r="AD272" s="9"/>
      <c r="AE272" s="9"/>
      <c r="AF272" s="9"/>
      <c r="AG272" s="9"/>
      <c r="AH272" s="9"/>
      <c r="AI272" s="9"/>
      <c r="BZ272" s="9"/>
      <c r="CA272" s="9"/>
      <c r="CB272" s="9"/>
      <c r="DB272" s="9"/>
      <c r="FN272" s="8"/>
      <c r="FO272" s="8"/>
      <c r="FP272" s="8"/>
      <c r="FQ272" s="8"/>
      <c r="FR272" s="8"/>
      <c r="FS272" s="8"/>
      <c r="FT272" s="8"/>
      <c r="FU272" s="8"/>
    </row>
    <row r="273" spans="3:177" hidden="1" x14ac:dyDescent="0.2">
      <c r="C273" s="79"/>
      <c r="D273" s="77"/>
      <c r="E273" s="77"/>
      <c r="F273" s="77"/>
      <c r="G273" s="77"/>
      <c r="H273" s="77"/>
      <c r="I273" s="77"/>
      <c r="J273" s="77"/>
      <c r="K273" s="77"/>
      <c r="L273" s="77"/>
      <c r="M273" s="77"/>
      <c r="N273" s="77"/>
      <c r="O273" s="77"/>
      <c r="P273" s="77"/>
      <c r="Q273" s="77"/>
      <c r="R273" s="77"/>
      <c r="S273" s="77"/>
      <c r="T273" s="77"/>
      <c r="U273" s="42"/>
      <c r="X273" s="80"/>
      <c r="Y273" s="81"/>
      <c r="AC273" s="9"/>
      <c r="AD273" s="9"/>
      <c r="AE273" s="9"/>
      <c r="AF273" s="9"/>
      <c r="AG273" s="9"/>
      <c r="AH273" s="9"/>
      <c r="AI273" s="9"/>
      <c r="BZ273" s="9"/>
      <c r="CA273" s="9"/>
      <c r="CB273" s="9"/>
      <c r="DB273" s="9"/>
      <c r="FN273" s="8"/>
      <c r="FO273" s="8"/>
      <c r="FP273" s="8"/>
      <c r="FQ273" s="8"/>
      <c r="FR273" s="8"/>
      <c r="FS273" s="8"/>
      <c r="FT273" s="8"/>
      <c r="FU273" s="8"/>
    </row>
    <row r="274" spans="3:177" hidden="1" x14ac:dyDescent="0.2">
      <c r="C274" s="79"/>
      <c r="D274" s="77"/>
      <c r="E274" s="77"/>
      <c r="F274" s="77"/>
      <c r="G274" s="77"/>
      <c r="H274" s="77"/>
      <c r="I274" s="77"/>
      <c r="J274" s="77"/>
      <c r="K274" s="77"/>
      <c r="L274" s="77"/>
      <c r="M274" s="77"/>
      <c r="N274" s="77"/>
      <c r="O274" s="77"/>
      <c r="P274" s="77"/>
      <c r="Q274" s="77"/>
      <c r="R274" s="77"/>
      <c r="S274" s="77"/>
      <c r="T274" s="77"/>
      <c r="U274" s="42"/>
      <c r="X274" s="80"/>
      <c r="Y274" s="81"/>
      <c r="AC274" s="9"/>
      <c r="AD274" s="9"/>
      <c r="AE274" s="9"/>
      <c r="AF274" s="9"/>
      <c r="AG274" s="9"/>
      <c r="AH274" s="9"/>
      <c r="AI274" s="9"/>
      <c r="BZ274" s="9"/>
      <c r="CA274" s="9"/>
      <c r="CB274" s="9"/>
      <c r="DB274" s="9"/>
      <c r="FN274" s="8"/>
      <c r="FO274" s="8"/>
      <c r="FP274" s="8"/>
      <c r="FQ274" s="8"/>
      <c r="FR274" s="8"/>
      <c r="FS274" s="8"/>
      <c r="FT274" s="8"/>
      <c r="FU274" s="8"/>
    </row>
    <row r="275" spans="3:177" hidden="1" x14ac:dyDescent="0.2">
      <c r="C275" s="79"/>
      <c r="D275" s="77"/>
      <c r="E275" s="77"/>
      <c r="F275" s="77"/>
      <c r="G275" s="77"/>
      <c r="H275" s="77"/>
      <c r="I275" s="77"/>
      <c r="J275" s="77"/>
      <c r="K275" s="77"/>
      <c r="L275" s="77"/>
      <c r="M275" s="77"/>
      <c r="N275" s="77"/>
      <c r="O275" s="77"/>
      <c r="P275" s="77"/>
      <c r="Q275" s="77"/>
      <c r="R275" s="77"/>
      <c r="S275" s="77"/>
      <c r="T275" s="77"/>
      <c r="U275" s="42"/>
      <c r="X275" s="80"/>
      <c r="Y275" s="81"/>
      <c r="AC275" s="9"/>
      <c r="AD275" s="9"/>
      <c r="AE275" s="9"/>
      <c r="AF275" s="9"/>
      <c r="AG275" s="9"/>
      <c r="AH275" s="9"/>
      <c r="AI275" s="9"/>
      <c r="BZ275" s="9"/>
      <c r="CA275" s="9"/>
      <c r="CB275" s="9"/>
      <c r="DB275" s="9"/>
      <c r="FN275" s="8"/>
      <c r="FO275" s="8"/>
      <c r="FP275" s="8"/>
      <c r="FQ275" s="8"/>
      <c r="FR275" s="8"/>
      <c r="FS275" s="8"/>
      <c r="FT275" s="8"/>
      <c r="FU275" s="8"/>
    </row>
    <row r="276" spans="3:177" hidden="1" x14ac:dyDescent="0.2">
      <c r="C276" s="79"/>
      <c r="D276" s="77"/>
      <c r="E276" s="77"/>
      <c r="F276" s="77"/>
      <c r="G276" s="77"/>
      <c r="H276" s="77"/>
      <c r="I276" s="77"/>
      <c r="J276" s="77"/>
      <c r="K276" s="77"/>
      <c r="L276" s="77"/>
      <c r="M276" s="77"/>
      <c r="N276" s="77"/>
      <c r="O276" s="77"/>
      <c r="P276" s="77"/>
      <c r="Q276" s="77"/>
      <c r="R276" s="77"/>
      <c r="S276" s="77"/>
      <c r="T276" s="77"/>
      <c r="U276" s="42"/>
      <c r="X276" s="80"/>
      <c r="Y276" s="81"/>
      <c r="AC276" s="9"/>
      <c r="AD276" s="9"/>
      <c r="AE276" s="9"/>
      <c r="AF276" s="9"/>
      <c r="AG276" s="9"/>
      <c r="AH276" s="9"/>
      <c r="AI276" s="9"/>
      <c r="BZ276" s="9"/>
      <c r="CA276" s="9"/>
      <c r="CB276" s="9"/>
      <c r="DB276" s="9"/>
      <c r="FN276" s="8"/>
      <c r="FO276" s="8"/>
      <c r="FP276" s="8"/>
      <c r="FQ276" s="8"/>
      <c r="FR276" s="8"/>
      <c r="FS276" s="8"/>
      <c r="FT276" s="8"/>
      <c r="FU276" s="8"/>
    </row>
    <row r="277" spans="3:177" hidden="1" x14ac:dyDescent="0.2">
      <c r="C277" s="79"/>
      <c r="D277" s="77"/>
      <c r="E277" s="77"/>
      <c r="F277" s="77"/>
      <c r="G277" s="77"/>
      <c r="H277" s="77"/>
      <c r="I277" s="77"/>
      <c r="J277" s="77"/>
      <c r="K277" s="77"/>
      <c r="L277" s="77"/>
      <c r="M277" s="77"/>
      <c r="N277" s="77"/>
      <c r="O277" s="77"/>
      <c r="P277" s="77"/>
      <c r="Q277" s="77"/>
      <c r="R277" s="77"/>
      <c r="S277" s="77"/>
      <c r="T277" s="77"/>
      <c r="U277" s="42"/>
      <c r="X277" s="80"/>
      <c r="Y277" s="81"/>
      <c r="AC277" s="9"/>
      <c r="AD277" s="9"/>
      <c r="AE277" s="9"/>
      <c r="AF277" s="9"/>
      <c r="AG277" s="9"/>
      <c r="AH277" s="9"/>
      <c r="AI277" s="9"/>
      <c r="BZ277" s="9"/>
      <c r="CA277" s="9"/>
      <c r="CB277" s="9"/>
      <c r="DB277" s="9"/>
      <c r="FN277" s="8"/>
      <c r="FO277" s="8"/>
      <c r="FP277" s="8"/>
      <c r="FQ277" s="8"/>
      <c r="FR277" s="8"/>
      <c r="FS277" s="8"/>
      <c r="FT277" s="8"/>
      <c r="FU277" s="8"/>
    </row>
    <row r="278" spans="3:177" hidden="1" x14ac:dyDescent="0.2">
      <c r="C278" s="79"/>
      <c r="D278" s="77"/>
      <c r="E278" s="77"/>
      <c r="F278" s="77"/>
      <c r="G278" s="77"/>
      <c r="H278" s="77"/>
      <c r="I278" s="77"/>
      <c r="J278" s="77"/>
      <c r="K278" s="77"/>
      <c r="L278" s="77"/>
      <c r="M278" s="77"/>
      <c r="N278" s="77"/>
      <c r="O278" s="77"/>
      <c r="P278" s="77"/>
      <c r="Q278" s="77"/>
      <c r="R278" s="77"/>
      <c r="S278" s="77"/>
      <c r="T278" s="77"/>
      <c r="U278" s="42"/>
      <c r="X278" s="80"/>
      <c r="Y278" s="81"/>
      <c r="AC278" s="9"/>
      <c r="AD278" s="9"/>
      <c r="AE278" s="9"/>
      <c r="AF278" s="9"/>
      <c r="AG278" s="9"/>
      <c r="AH278" s="9"/>
      <c r="AI278" s="9"/>
      <c r="BZ278" s="9"/>
      <c r="CA278" s="9"/>
      <c r="CB278" s="9"/>
      <c r="DB278" s="9"/>
      <c r="FN278" s="8"/>
      <c r="FO278" s="8"/>
      <c r="FP278" s="8"/>
      <c r="FQ278" s="8"/>
      <c r="FR278" s="8"/>
      <c r="FS278" s="8"/>
      <c r="FT278" s="8"/>
      <c r="FU278" s="8"/>
    </row>
    <row r="279" spans="3:177" hidden="1" x14ac:dyDescent="0.2">
      <c r="C279" s="79"/>
      <c r="D279" s="77"/>
      <c r="E279" s="77"/>
      <c r="F279" s="77"/>
      <c r="G279" s="77"/>
      <c r="H279" s="77"/>
      <c r="I279" s="77"/>
      <c r="J279" s="77"/>
      <c r="K279" s="77"/>
      <c r="L279" s="77"/>
      <c r="M279" s="77"/>
      <c r="N279" s="77"/>
      <c r="O279" s="77"/>
      <c r="P279" s="77"/>
      <c r="Q279" s="77"/>
      <c r="R279" s="77"/>
      <c r="S279" s="77"/>
      <c r="T279" s="77"/>
      <c r="U279" s="42"/>
      <c r="X279" s="80"/>
      <c r="Y279" s="81"/>
      <c r="AC279" s="9"/>
      <c r="AD279" s="9"/>
      <c r="AE279" s="9"/>
      <c r="AF279" s="9"/>
      <c r="AG279" s="9"/>
      <c r="AH279" s="9"/>
      <c r="AI279" s="9"/>
      <c r="BZ279" s="9"/>
      <c r="CA279" s="9"/>
      <c r="CB279" s="9"/>
      <c r="DB279" s="9"/>
      <c r="FN279" s="8"/>
      <c r="FO279" s="8"/>
      <c r="FP279" s="8"/>
      <c r="FQ279" s="8"/>
      <c r="FR279" s="8"/>
      <c r="FS279" s="8"/>
      <c r="FT279" s="8"/>
      <c r="FU279" s="8"/>
    </row>
    <row r="280" spans="3:177" hidden="1" x14ac:dyDescent="0.2">
      <c r="C280" s="79"/>
      <c r="D280" s="77"/>
      <c r="E280" s="77"/>
      <c r="F280" s="77"/>
      <c r="G280" s="77"/>
      <c r="H280" s="77"/>
      <c r="I280" s="77"/>
      <c r="J280" s="77"/>
      <c r="K280" s="77"/>
      <c r="L280" s="77"/>
      <c r="M280" s="77"/>
      <c r="N280" s="77"/>
      <c r="O280" s="77"/>
      <c r="P280" s="77"/>
      <c r="Q280" s="77"/>
      <c r="R280" s="77"/>
      <c r="S280" s="77"/>
      <c r="T280" s="77"/>
      <c r="U280" s="42"/>
      <c r="X280" s="80"/>
      <c r="Y280" s="81"/>
      <c r="AC280" s="9"/>
      <c r="AD280" s="9"/>
      <c r="AE280" s="9"/>
      <c r="AF280" s="9"/>
      <c r="AG280" s="9"/>
      <c r="AH280" s="9"/>
      <c r="AI280" s="9"/>
      <c r="BZ280" s="9"/>
      <c r="CA280" s="9"/>
      <c r="CB280" s="9"/>
      <c r="DB280" s="9"/>
      <c r="FN280" s="8"/>
      <c r="FO280" s="8"/>
      <c r="FP280" s="8"/>
      <c r="FQ280" s="8"/>
      <c r="FR280" s="8"/>
      <c r="FS280" s="8"/>
      <c r="FT280" s="8"/>
      <c r="FU280" s="8"/>
    </row>
    <row r="281" spans="3:177" hidden="1" x14ac:dyDescent="0.2">
      <c r="C281" s="79"/>
      <c r="D281" s="77"/>
      <c r="E281" s="77"/>
      <c r="F281" s="77"/>
      <c r="G281" s="77"/>
      <c r="H281" s="77"/>
      <c r="I281" s="77"/>
      <c r="J281" s="77"/>
      <c r="K281" s="77"/>
      <c r="L281" s="77"/>
      <c r="M281" s="77"/>
      <c r="N281" s="77"/>
      <c r="O281" s="77"/>
      <c r="P281" s="77"/>
      <c r="Q281" s="77"/>
      <c r="R281" s="77"/>
      <c r="S281" s="77"/>
      <c r="T281" s="77"/>
      <c r="U281" s="42"/>
      <c r="X281" s="80"/>
      <c r="Y281" s="81"/>
      <c r="AC281" s="9"/>
      <c r="AD281" s="9"/>
      <c r="AE281" s="9"/>
      <c r="AF281" s="9"/>
      <c r="AG281" s="9"/>
      <c r="AH281" s="9"/>
      <c r="AI281" s="9"/>
      <c r="BZ281" s="9"/>
      <c r="CA281" s="9"/>
      <c r="CB281" s="9"/>
      <c r="DB281" s="9"/>
      <c r="FN281" s="8"/>
      <c r="FO281" s="8"/>
      <c r="FP281" s="8"/>
      <c r="FQ281" s="8"/>
      <c r="FR281" s="8"/>
      <c r="FS281" s="8"/>
      <c r="FT281" s="8"/>
      <c r="FU281" s="8"/>
    </row>
    <row r="282" spans="3:177" hidden="1" x14ac:dyDescent="0.2">
      <c r="C282" s="79"/>
      <c r="D282" s="77"/>
      <c r="E282" s="77"/>
      <c r="F282" s="77"/>
      <c r="G282" s="77"/>
      <c r="H282" s="77"/>
      <c r="I282" s="77"/>
      <c r="J282" s="77"/>
      <c r="K282" s="77"/>
      <c r="L282" s="77"/>
      <c r="M282" s="77"/>
      <c r="N282" s="77"/>
      <c r="O282" s="77"/>
      <c r="P282" s="77"/>
      <c r="Q282" s="77"/>
      <c r="R282" s="77"/>
      <c r="S282" s="77"/>
      <c r="T282" s="77"/>
      <c r="U282" s="42"/>
      <c r="X282" s="80"/>
      <c r="Y282" s="81"/>
      <c r="AC282" s="9"/>
      <c r="AD282" s="9"/>
      <c r="AE282" s="9"/>
      <c r="AF282" s="9"/>
      <c r="AG282" s="9"/>
      <c r="AH282" s="9"/>
      <c r="AI282" s="9"/>
      <c r="BZ282" s="9"/>
      <c r="CA282" s="9"/>
      <c r="CB282" s="9"/>
      <c r="DB282" s="9"/>
      <c r="FN282" s="8"/>
      <c r="FO282" s="8"/>
      <c r="FP282" s="8"/>
      <c r="FQ282" s="8"/>
      <c r="FR282" s="8"/>
      <c r="FS282" s="8"/>
      <c r="FT282" s="8"/>
      <c r="FU282" s="8"/>
    </row>
    <row r="283" spans="3:177" hidden="1" x14ac:dyDescent="0.2">
      <c r="C283" s="79"/>
      <c r="D283" s="77"/>
      <c r="E283" s="77"/>
      <c r="F283" s="77"/>
      <c r="G283" s="77"/>
      <c r="H283" s="77"/>
      <c r="I283" s="77"/>
      <c r="J283" s="77"/>
      <c r="K283" s="77"/>
      <c r="L283" s="77"/>
      <c r="M283" s="77"/>
      <c r="N283" s="77"/>
      <c r="O283" s="77"/>
      <c r="P283" s="77"/>
      <c r="Q283" s="77"/>
      <c r="R283" s="77"/>
      <c r="S283" s="77"/>
      <c r="T283" s="77"/>
      <c r="U283" s="42"/>
      <c r="X283" s="80"/>
      <c r="Y283" s="81"/>
      <c r="AC283" s="9"/>
      <c r="AD283" s="9"/>
      <c r="AE283" s="9"/>
      <c r="AF283" s="9"/>
      <c r="AG283" s="9"/>
      <c r="AH283" s="9"/>
      <c r="AI283" s="9"/>
      <c r="BZ283" s="9"/>
      <c r="CA283" s="9"/>
      <c r="CB283" s="9"/>
      <c r="DB283" s="9"/>
      <c r="FN283" s="8"/>
      <c r="FO283" s="8"/>
      <c r="FP283" s="8"/>
      <c r="FQ283" s="8"/>
      <c r="FR283" s="8"/>
      <c r="FS283" s="8"/>
      <c r="FT283" s="8"/>
      <c r="FU283" s="8"/>
    </row>
    <row r="284" spans="3:177" hidden="1" x14ac:dyDescent="0.2">
      <c r="C284" s="79"/>
      <c r="D284" s="77"/>
      <c r="E284" s="77"/>
      <c r="F284" s="77"/>
      <c r="G284" s="77"/>
      <c r="H284" s="77"/>
      <c r="I284" s="77"/>
      <c r="J284" s="77"/>
      <c r="K284" s="77"/>
      <c r="L284" s="77"/>
      <c r="M284" s="77"/>
      <c r="N284" s="77"/>
      <c r="O284" s="77"/>
      <c r="P284" s="77"/>
      <c r="Q284" s="77"/>
      <c r="R284" s="77"/>
      <c r="S284" s="77"/>
      <c r="T284" s="77"/>
      <c r="U284" s="42"/>
      <c r="X284" s="80"/>
      <c r="Y284" s="81"/>
      <c r="AC284" s="9"/>
      <c r="AD284" s="9"/>
      <c r="AE284" s="9"/>
      <c r="AF284" s="9"/>
      <c r="AG284" s="9"/>
      <c r="AH284" s="9"/>
      <c r="AI284" s="9"/>
      <c r="BZ284" s="9"/>
      <c r="CA284" s="9"/>
      <c r="CB284" s="9"/>
      <c r="DB284" s="9"/>
      <c r="FN284" s="8"/>
      <c r="FO284" s="8"/>
      <c r="FP284" s="8"/>
      <c r="FQ284" s="8"/>
      <c r="FR284" s="8"/>
      <c r="FS284" s="8"/>
      <c r="FT284" s="8"/>
      <c r="FU284" s="8"/>
    </row>
    <row r="285" spans="3:177" hidden="1" x14ac:dyDescent="0.2">
      <c r="C285" s="79"/>
      <c r="D285" s="77"/>
      <c r="E285" s="77"/>
      <c r="F285" s="77"/>
      <c r="G285" s="77"/>
      <c r="H285" s="77"/>
      <c r="I285" s="77"/>
      <c r="J285" s="77"/>
      <c r="K285" s="77"/>
      <c r="L285" s="77"/>
      <c r="M285" s="77"/>
      <c r="N285" s="77"/>
      <c r="O285" s="77"/>
      <c r="P285" s="77"/>
      <c r="Q285" s="77"/>
      <c r="R285" s="77"/>
      <c r="S285" s="77"/>
      <c r="T285" s="77"/>
      <c r="U285" s="42"/>
      <c r="X285" s="80"/>
      <c r="Y285" s="81"/>
      <c r="AC285" s="9"/>
      <c r="AD285" s="9"/>
      <c r="AE285" s="9"/>
      <c r="AF285" s="9"/>
      <c r="AG285" s="9"/>
      <c r="AH285" s="9"/>
      <c r="AI285" s="9"/>
      <c r="BZ285" s="9"/>
      <c r="CA285" s="9"/>
      <c r="CB285" s="9"/>
      <c r="DB285" s="9"/>
      <c r="FN285" s="8"/>
      <c r="FO285" s="8"/>
      <c r="FP285" s="8"/>
      <c r="FQ285" s="8"/>
      <c r="FR285" s="8"/>
      <c r="FS285" s="8"/>
      <c r="FT285" s="8"/>
      <c r="FU285" s="8"/>
    </row>
    <row r="286" spans="3:177" hidden="1" x14ac:dyDescent="0.2">
      <c r="C286" s="79"/>
      <c r="D286" s="77"/>
      <c r="E286" s="77"/>
      <c r="F286" s="77"/>
      <c r="G286" s="77"/>
      <c r="H286" s="77"/>
      <c r="I286" s="77"/>
      <c r="J286" s="77"/>
      <c r="K286" s="77"/>
      <c r="L286" s="77"/>
      <c r="M286" s="77"/>
      <c r="N286" s="77"/>
      <c r="O286" s="77"/>
      <c r="P286" s="77"/>
      <c r="Q286" s="77"/>
      <c r="R286" s="77"/>
      <c r="S286" s="77"/>
      <c r="T286" s="77"/>
      <c r="U286" s="42"/>
      <c r="X286" s="80"/>
      <c r="Y286" s="81"/>
      <c r="AC286" s="9"/>
      <c r="AD286" s="9"/>
      <c r="AE286" s="9"/>
      <c r="AF286" s="9"/>
      <c r="AG286" s="9"/>
      <c r="AH286" s="9"/>
      <c r="AI286" s="9"/>
      <c r="BZ286" s="9"/>
      <c r="CA286" s="9"/>
      <c r="CB286" s="9"/>
      <c r="DB286" s="9"/>
      <c r="FN286" s="8"/>
      <c r="FO286" s="8"/>
      <c r="FP286" s="8"/>
      <c r="FQ286" s="8"/>
      <c r="FR286" s="8"/>
      <c r="FS286" s="8"/>
      <c r="FT286" s="8"/>
      <c r="FU286" s="8"/>
    </row>
    <row r="287" spans="3:177" hidden="1" x14ac:dyDescent="0.2">
      <c r="C287" s="79"/>
      <c r="D287" s="77"/>
      <c r="E287" s="77"/>
      <c r="F287" s="77"/>
      <c r="G287" s="77"/>
      <c r="H287" s="77"/>
      <c r="I287" s="77"/>
      <c r="J287" s="77"/>
      <c r="K287" s="77"/>
      <c r="L287" s="77"/>
      <c r="M287" s="77"/>
      <c r="N287" s="77"/>
      <c r="O287" s="77"/>
      <c r="P287" s="77"/>
      <c r="Q287" s="77"/>
      <c r="R287" s="77"/>
      <c r="S287" s="77"/>
      <c r="T287" s="77"/>
      <c r="U287" s="42"/>
      <c r="X287" s="80"/>
      <c r="Y287" s="81"/>
      <c r="AC287" s="9"/>
      <c r="AD287" s="9"/>
      <c r="AE287" s="9"/>
      <c r="AF287" s="9"/>
      <c r="AG287" s="9"/>
      <c r="AH287" s="9"/>
      <c r="AI287" s="9"/>
      <c r="BZ287" s="9"/>
      <c r="CA287" s="9"/>
      <c r="CB287" s="9"/>
      <c r="DB287" s="9"/>
      <c r="FN287" s="8"/>
      <c r="FO287" s="8"/>
      <c r="FP287" s="8"/>
      <c r="FQ287" s="8"/>
      <c r="FR287" s="8"/>
      <c r="FS287" s="8"/>
      <c r="FT287" s="8"/>
      <c r="FU287" s="8"/>
    </row>
    <row r="288" spans="3:177" hidden="1" x14ac:dyDescent="0.2">
      <c r="C288" s="79"/>
      <c r="D288" s="77"/>
      <c r="E288" s="77"/>
      <c r="F288" s="77"/>
      <c r="G288" s="77"/>
      <c r="H288" s="77"/>
      <c r="I288" s="77"/>
      <c r="J288" s="77"/>
      <c r="K288" s="77"/>
      <c r="L288" s="77"/>
      <c r="M288" s="77"/>
      <c r="N288" s="77"/>
      <c r="O288" s="77"/>
      <c r="P288" s="77"/>
      <c r="Q288" s="77"/>
      <c r="R288" s="77"/>
      <c r="S288" s="77"/>
      <c r="T288" s="77"/>
      <c r="U288" s="42"/>
      <c r="X288" s="80"/>
      <c r="Y288" s="81"/>
      <c r="AC288" s="9"/>
      <c r="AD288" s="9"/>
      <c r="AE288" s="9"/>
      <c r="AF288" s="9"/>
      <c r="AG288" s="9"/>
      <c r="AH288" s="9"/>
      <c r="AI288" s="9"/>
      <c r="BZ288" s="9"/>
      <c r="CA288" s="9"/>
      <c r="CB288" s="9"/>
      <c r="DB288" s="9"/>
      <c r="FN288" s="8"/>
      <c r="FO288" s="8"/>
      <c r="FP288" s="8"/>
      <c r="FQ288" s="8"/>
      <c r="FR288" s="8"/>
      <c r="FS288" s="8"/>
      <c r="FT288" s="8"/>
      <c r="FU288" s="8"/>
    </row>
    <row r="289" spans="3:177" hidden="1" x14ac:dyDescent="0.2">
      <c r="C289" s="79"/>
      <c r="D289" s="77"/>
      <c r="E289" s="77"/>
      <c r="F289" s="77"/>
      <c r="G289" s="77"/>
      <c r="H289" s="77"/>
      <c r="I289" s="77"/>
      <c r="J289" s="77"/>
      <c r="K289" s="77"/>
      <c r="L289" s="77"/>
      <c r="M289" s="77"/>
      <c r="N289" s="77"/>
      <c r="O289" s="77"/>
      <c r="P289" s="77"/>
      <c r="Q289" s="77"/>
      <c r="R289" s="77"/>
      <c r="S289" s="77"/>
      <c r="T289" s="77"/>
      <c r="U289" s="42"/>
      <c r="X289" s="80"/>
      <c r="Y289" s="81"/>
      <c r="AC289" s="9"/>
      <c r="AD289" s="9"/>
      <c r="AE289" s="9"/>
      <c r="AF289" s="9"/>
      <c r="AG289" s="9"/>
      <c r="AH289" s="9"/>
      <c r="AI289" s="9"/>
      <c r="BZ289" s="9"/>
      <c r="CA289" s="9"/>
      <c r="CB289" s="9"/>
      <c r="DB289" s="9"/>
      <c r="FN289" s="8"/>
      <c r="FO289" s="8"/>
      <c r="FP289" s="8"/>
      <c r="FQ289" s="8"/>
      <c r="FR289" s="8"/>
      <c r="FS289" s="8"/>
      <c r="FT289" s="8"/>
      <c r="FU289" s="8"/>
    </row>
    <row r="290" spans="3:177" hidden="1" x14ac:dyDescent="0.2">
      <c r="C290" s="79"/>
      <c r="D290" s="77"/>
      <c r="E290" s="77"/>
      <c r="F290" s="77"/>
      <c r="G290" s="77"/>
      <c r="H290" s="77"/>
      <c r="I290" s="77"/>
      <c r="J290" s="77"/>
      <c r="K290" s="77"/>
      <c r="L290" s="77"/>
      <c r="M290" s="77"/>
      <c r="N290" s="77"/>
      <c r="O290" s="77"/>
      <c r="P290" s="77"/>
      <c r="Q290" s="77"/>
      <c r="R290" s="77"/>
      <c r="S290" s="77"/>
      <c r="T290" s="77"/>
      <c r="U290" s="42"/>
      <c r="X290" s="80"/>
      <c r="Y290" s="81"/>
      <c r="AC290" s="9"/>
      <c r="AD290" s="9"/>
      <c r="AE290" s="9"/>
      <c r="AF290" s="9"/>
      <c r="AG290" s="9"/>
      <c r="AH290" s="9"/>
      <c r="AI290" s="9"/>
      <c r="BZ290" s="9"/>
      <c r="CA290" s="9"/>
      <c r="CB290" s="9"/>
      <c r="DB290" s="9"/>
      <c r="FN290" s="8"/>
      <c r="FO290" s="8"/>
      <c r="FP290" s="8"/>
      <c r="FQ290" s="8"/>
      <c r="FR290" s="8"/>
      <c r="FS290" s="8"/>
      <c r="FT290" s="8"/>
      <c r="FU290" s="8"/>
    </row>
    <row r="291" spans="3:177" hidden="1" x14ac:dyDescent="0.2">
      <c r="C291" s="79"/>
      <c r="D291" s="77"/>
      <c r="E291" s="77"/>
      <c r="F291" s="77"/>
      <c r="G291" s="77"/>
      <c r="H291" s="77"/>
      <c r="I291" s="77"/>
      <c r="J291" s="77"/>
      <c r="K291" s="77"/>
      <c r="L291" s="77"/>
      <c r="M291" s="77"/>
      <c r="N291" s="77"/>
      <c r="O291" s="77"/>
      <c r="P291" s="77"/>
      <c r="Q291" s="77"/>
      <c r="R291" s="77"/>
      <c r="S291" s="77"/>
      <c r="T291" s="77"/>
      <c r="U291" s="42"/>
      <c r="X291" s="80"/>
      <c r="Y291" s="81"/>
      <c r="AC291" s="9"/>
      <c r="AD291" s="9"/>
      <c r="AE291" s="9"/>
      <c r="AF291" s="9"/>
      <c r="AG291" s="9"/>
      <c r="AH291" s="9"/>
      <c r="AI291" s="9"/>
      <c r="BZ291" s="9"/>
      <c r="CA291" s="9"/>
      <c r="CB291" s="9"/>
      <c r="DB291" s="9"/>
      <c r="FN291" s="8"/>
      <c r="FO291" s="8"/>
      <c r="FP291" s="8"/>
      <c r="FQ291" s="8"/>
      <c r="FR291" s="8"/>
      <c r="FS291" s="8"/>
      <c r="FT291" s="8"/>
      <c r="FU291" s="8"/>
    </row>
    <row r="292" spans="3:177" hidden="1" x14ac:dyDescent="0.2">
      <c r="C292" s="79"/>
      <c r="D292" s="77"/>
      <c r="E292" s="77"/>
      <c r="F292" s="77"/>
      <c r="G292" s="77"/>
      <c r="H292" s="77"/>
      <c r="I292" s="77"/>
      <c r="J292" s="77"/>
      <c r="K292" s="77"/>
      <c r="L292" s="77"/>
      <c r="M292" s="77"/>
      <c r="N292" s="77"/>
      <c r="O292" s="77"/>
      <c r="P292" s="77"/>
      <c r="Q292" s="77"/>
      <c r="R292" s="77"/>
      <c r="S292" s="77"/>
      <c r="T292" s="77"/>
      <c r="U292" s="42"/>
      <c r="X292" s="80"/>
      <c r="Y292" s="81"/>
      <c r="AC292" s="9"/>
      <c r="AD292" s="9"/>
      <c r="AE292" s="9"/>
      <c r="AF292" s="9"/>
      <c r="AG292" s="9"/>
      <c r="AH292" s="9"/>
      <c r="AI292" s="9"/>
      <c r="BZ292" s="9"/>
      <c r="CA292" s="9"/>
      <c r="CB292" s="9"/>
      <c r="DB292" s="9"/>
      <c r="FN292" s="8"/>
      <c r="FO292" s="8"/>
      <c r="FP292" s="8"/>
      <c r="FQ292" s="8"/>
      <c r="FR292" s="8"/>
      <c r="FS292" s="8"/>
      <c r="FT292" s="8"/>
      <c r="FU292" s="8"/>
    </row>
    <row r="293" spans="3:177" hidden="1" x14ac:dyDescent="0.2">
      <c r="C293" s="79"/>
      <c r="D293" s="77"/>
      <c r="E293" s="77"/>
      <c r="F293" s="77"/>
      <c r="G293" s="77"/>
      <c r="H293" s="77"/>
      <c r="I293" s="77"/>
      <c r="J293" s="77"/>
      <c r="K293" s="77"/>
      <c r="L293" s="77"/>
      <c r="M293" s="77"/>
      <c r="N293" s="77"/>
      <c r="O293" s="77"/>
      <c r="P293" s="77"/>
      <c r="Q293" s="77"/>
      <c r="R293" s="77"/>
      <c r="S293" s="77"/>
      <c r="T293" s="77"/>
      <c r="U293" s="42"/>
      <c r="X293" s="80"/>
      <c r="Y293" s="81"/>
      <c r="AC293" s="9"/>
      <c r="AD293" s="9"/>
      <c r="AE293" s="9"/>
      <c r="AF293" s="9"/>
      <c r="AG293" s="9"/>
      <c r="AH293" s="9"/>
      <c r="AI293" s="9"/>
      <c r="BZ293" s="9"/>
      <c r="CA293" s="9"/>
      <c r="CB293" s="9"/>
      <c r="DB293" s="9"/>
      <c r="FN293" s="8"/>
      <c r="FO293" s="8"/>
      <c r="FP293" s="8"/>
      <c r="FQ293" s="8"/>
      <c r="FR293" s="8"/>
      <c r="FS293" s="8"/>
      <c r="FT293" s="8"/>
      <c r="FU293" s="8"/>
    </row>
    <row r="294" spans="3:177" hidden="1" x14ac:dyDescent="0.2">
      <c r="C294" s="79"/>
      <c r="D294" s="77"/>
      <c r="E294" s="77"/>
      <c r="F294" s="77"/>
      <c r="G294" s="77"/>
      <c r="H294" s="77"/>
      <c r="I294" s="77"/>
      <c r="J294" s="77"/>
      <c r="K294" s="77"/>
      <c r="L294" s="77"/>
      <c r="M294" s="77"/>
      <c r="N294" s="77"/>
      <c r="O294" s="77"/>
      <c r="P294" s="77"/>
      <c r="Q294" s="77"/>
      <c r="R294" s="77"/>
      <c r="S294" s="77"/>
      <c r="T294" s="77"/>
      <c r="U294" s="42"/>
      <c r="X294" s="80"/>
      <c r="Y294" s="81"/>
      <c r="AC294" s="9"/>
      <c r="AD294" s="9"/>
      <c r="AE294" s="9"/>
      <c r="AF294" s="9"/>
      <c r="AG294" s="9"/>
      <c r="AH294" s="9"/>
      <c r="AI294" s="9"/>
      <c r="BZ294" s="9"/>
      <c r="CA294" s="9"/>
      <c r="CB294" s="9"/>
      <c r="DB294" s="9"/>
      <c r="FN294" s="8"/>
      <c r="FO294" s="8"/>
      <c r="FP294" s="8"/>
      <c r="FQ294" s="8"/>
      <c r="FR294" s="8"/>
      <c r="FS294" s="8"/>
      <c r="FT294" s="8"/>
      <c r="FU294" s="8"/>
    </row>
    <row r="295" spans="3:177" hidden="1" x14ac:dyDescent="0.2">
      <c r="C295" s="79"/>
      <c r="D295" s="77"/>
      <c r="E295" s="77"/>
      <c r="F295" s="77"/>
      <c r="G295" s="77"/>
      <c r="H295" s="77"/>
      <c r="I295" s="77"/>
      <c r="J295" s="77"/>
      <c r="K295" s="77"/>
      <c r="L295" s="77"/>
      <c r="M295" s="77"/>
      <c r="N295" s="77"/>
      <c r="O295" s="77"/>
      <c r="P295" s="77"/>
      <c r="Q295" s="77"/>
      <c r="R295" s="77"/>
      <c r="S295" s="77"/>
      <c r="T295" s="77"/>
      <c r="U295" s="42"/>
      <c r="X295" s="80"/>
      <c r="Y295" s="81"/>
      <c r="AC295" s="9"/>
      <c r="AD295" s="9"/>
      <c r="AE295" s="9"/>
      <c r="AF295" s="9"/>
      <c r="AG295" s="9"/>
      <c r="AH295" s="9"/>
      <c r="AI295" s="9"/>
      <c r="BZ295" s="9"/>
      <c r="CA295" s="9"/>
      <c r="CB295" s="9"/>
      <c r="DB295" s="9"/>
      <c r="FN295" s="8"/>
      <c r="FO295" s="8"/>
      <c r="FP295" s="8"/>
      <c r="FQ295" s="8"/>
      <c r="FR295" s="8"/>
      <c r="FS295" s="8"/>
      <c r="FT295" s="8"/>
      <c r="FU295" s="8"/>
    </row>
    <row r="296" spans="3:177" hidden="1" x14ac:dyDescent="0.2">
      <c r="C296" s="79"/>
      <c r="D296" s="77"/>
      <c r="E296" s="77"/>
      <c r="F296" s="77"/>
      <c r="G296" s="77"/>
      <c r="H296" s="77"/>
      <c r="I296" s="77"/>
      <c r="J296" s="77"/>
      <c r="K296" s="77"/>
      <c r="L296" s="77"/>
      <c r="M296" s="77"/>
      <c r="N296" s="77"/>
      <c r="O296" s="77"/>
      <c r="P296" s="77"/>
      <c r="Q296" s="77"/>
      <c r="R296" s="77"/>
      <c r="S296" s="77"/>
      <c r="T296" s="77"/>
      <c r="U296" s="42"/>
      <c r="X296" s="80"/>
      <c r="Y296" s="81"/>
      <c r="AC296" s="9"/>
      <c r="AD296" s="9"/>
      <c r="AE296" s="9"/>
      <c r="AF296" s="9"/>
      <c r="AG296" s="9"/>
      <c r="AH296" s="9"/>
      <c r="AI296" s="9"/>
      <c r="BZ296" s="9"/>
      <c r="CA296" s="9"/>
      <c r="CB296" s="9"/>
      <c r="DB296" s="9"/>
      <c r="FN296" s="8"/>
      <c r="FO296" s="8"/>
      <c r="FP296" s="8"/>
      <c r="FQ296" s="8"/>
      <c r="FR296" s="8"/>
      <c r="FS296" s="8"/>
      <c r="FT296" s="8"/>
      <c r="FU296" s="8"/>
    </row>
    <row r="297" spans="3:177" hidden="1" x14ac:dyDescent="0.2">
      <c r="C297" s="79"/>
      <c r="D297" s="77"/>
      <c r="E297" s="77"/>
      <c r="F297" s="77"/>
      <c r="G297" s="77"/>
      <c r="H297" s="77"/>
      <c r="I297" s="77"/>
      <c r="J297" s="77"/>
      <c r="K297" s="77"/>
      <c r="L297" s="77"/>
      <c r="M297" s="77"/>
      <c r="N297" s="77"/>
      <c r="O297" s="77"/>
      <c r="P297" s="77"/>
      <c r="Q297" s="77"/>
      <c r="R297" s="77"/>
      <c r="S297" s="77"/>
      <c r="T297" s="77"/>
      <c r="U297" s="42"/>
      <c r="X297" s="80"/>
      <c r="Y297" s="81"/>
      <c r="AC297" s="9"/>
      <c r="AD297" s="9"/>
      <c r="AE297" s="9"/>
      <c r="AF297" s="9"/>
      <c r="AG297" s="9"/>
      <c r="AH297" s="9"/>
      <c r="AI297" s="9"/>
      <c r="BZ297" s="9"/>
      <c r="CA297" s="9"/>
      <c r="CB297" s="9"/>
      <c r="DB297" s="9"/>
      <c r="FN297" s="8"/>
      <c r="FO297" s="8"/>
      <c r="FP297" s="8"/>
      <c r="FQ297" s="8"/>
      <c r="FR297" s="8"/>
      <c r="FS297" s="8"/>
      <c r="FT297" s="8"/>
      <c r="FU297" s="8"/>
    </row>
    <row r="298" spans="3:177" hidden="1" x14ac:dyDescent="0.2">
      <c r="C298" s="79"/>
      <c r="D298" s="77"/>
      <c r="E298" s="77"/>
      <c r="F298" s="77"/>
      <c r="G298" s="77"/>
      <c r="H298" s="77"/>
      <c r="I298" s="77"/>
      <c r="J298" s="77"/>
      <c r="K298" s="77"/>
      <c r="L298" s="77"/>
      <c r="M298" s="77"/>
      <c r="N298" s="77"/>
      <c r="O298" s="77"/>
      <c r="P298" s="77"/>
      <c r="Q298" s="77"/>
      <c r="R298" s="77"/>
      <c r="S298" s="77"/>
      <c r="T298" s="77"/>
      <c r="U298" s="42"/>
      <c r="X298" s="80"/>
      <c r="Y298" s="81"/>
      <c r="AC298" s="9"/>
      <c r="AD298" s="9"/>
      <c r="AE298" s="9"/>
      <c r="AF298" s="9"/>
      <c r="AG298" s="9"/>
      <c r="AH298" s="9"/>
      <c r="AI298" s="9"/>
      <c r="BZ298" s="9"/>
      <c r="CA298" s="9"/>
      <c r="CB298" s="9"/>
      <c r="DB298" s="9"/>
      <c r="FN298" s="8"/>
      <c r="FO298" s="8"/>
      <c r="FP298" s="8"/>
      <c r="FQ298" s="8"/>
      <c r="FR298" s="8"/>
      <c r="FS298" s="8"/>
      <c r="FT298" s="8"/>
      <c r="FU298" s="8"/>
    </row>
    <row r="299" spans="3:177" hidden="1" x14ac:dyDescent="0.2">
      <c r="AC299" s="9"/>
      <c r="AD299" s="9"/>
      <c r="AE299" s="9"/>
      <c r="AF299" s="9"/>
      <c r="AG299" s="9"/>
      <c r="AH299" s="9"/>
      <c r="AI299" s="9"/>
      <c r="BZ299" s="9"/>
      <c r="CA299" s="9"/>
      <c r="CB299" s="9"/>
      <c r="DB299" s="9"/>
      <c r="FN299" s="8"/>
      <c r="FO299" s="8"/>
      <c r="FP299" s="8"/>
      <c r="FQ299" s="8"/>
      <c r="FR299" s="8"/>
      <c r="FS299" s="8"/>
      <c r="FT299" s="8"/>
      <c r="FU299" s="8"/>
    </row>
    <row r="300" spans="3:177" hidden="1" x14ac:dyDescent="0.2">
      <c r="AC300" s="9"/>
      <c r="AD300" s="9"/>
      <c r="AE300" s="9"/>
      <c r="AF300" s="9"/>
      <c r="AG300" s="9"/>
      <c r="AH300" s="9"/>
      <c r="AI300" s="9"/>
      <c r="BZ300" s="9"/>
      <c r="CA300" s="9"/>
      <c r="CB300" s="9"/>
      <c r="DB300" s="9"/>
      <c r="FN300" s="8"/>
      <c r="FO300" s="8"/>
      <c r="FP300" s="8"/>
      <c r="FQ300" s="8"/>
      <c r="FR300" s="8"/>
      <c r="FS300" s="8"/>
      <c r="FT300" s="8"/>
      <c r="FU300" s="8"/>
    </row>
    <row r="301" spans="3:177" hidden="1" x14ac:dyDescent="0.2">
      <c r="AC301" s="9"/>
      <c r="AD301" s="9"/>
      <c r="AE301" s="9"/>
      <c r="AF301" s="9"/>
      <c r="AG301" s="9"/>
      <c r="AH301" s="9"/>
      <c r="AI301" s="9"/>
      <c r="BZ301" s="9"/>
      <c r="CA301" s="9"/>
      <c r="CB301" s="9"/>
      <c r="DB301" s="9"/>
      <c r="FN301" s="8"/>
      <c r="FO301" s="8"/>
      <c r="FP301" s="8"/>
      <c r="FQ301" s="8"/>
      <c r="FR301" s="8"/>
      <c r="FS301" s="8"/>
      <c r="FT301" s="8"/>
      <c r="FU301" s="8"/>
    </row>
    <row r="302" spans="3:177" hidden="1" x14ac:dyDescent="0.2">
      <c r="AC302" s="9"/>
      <c r="AD302" s="9"/>
      <c r="AE302" s="9"/>
      <c r="AF302" s="9"/>
      <c r="AG302" s="9"/>
      <c r="AH302" s="9"/>
      <c r="AI302" s="9"/>
      <c r="BZ302" s="9"/>
      <c r="CA302" s="9"/>
      <c r="CB302" s="9"/>
      <c r="DB302" s="9"/>
      <c r="FN302" s="8"/>
      <c r="FO302" s="8"/>
      <c r="FP302" s="8"/>
      <c r="FQ302" s="8"/>
      <c r="FR302" s="8"/>
      <c r="FS302" s="8"/>
      <c r="FT302" s="8"/>
      <c r="FU302" s="8"/>
    </row>
    <row r="303" spans="3:177" hidden="1" x14ac:dyDescent="0.2">
      <c r="AC303" s="9"/>
      <c r="AD303" s="9"/>
      <c r="AE303" s="9"/>
      <c r="AF303" s="9"/>
      <c r="AG303" s="9"/>
      <c r="AH303" s="9"/>
      <c r="AI303" s="9"/>
      <c r="BZ303" s="9"/>
      <c r="CA303" s="9"/>
      <c r="CB303" s="9"/>
      <c r="DB303" s="9"/>
      <c r="FN303" s="8"/>
      <c r="FO303" s="8"/>
      <c r="FP303" s="8"/>
      <c r="FQ303" s="8"/>
      <c r="FR303" s="8"/>
      <c r="FS303" s="8"/>
      <c r="FT303" s="8"/>
      <c r="FU303" s="8"/>
    </row>
    <row r="304" spans="3:177" hidden="1" x14ac:dyDescent="0.2">
      <c r="AC304" s="9"/>
      <c r="AD304" s="9"/>
      <c r="AE304" s="9"/>
      <c r="AF304" s="9"/>
      <c r="AG304" s="9"/>
      <c r="AH304" s="9"/>
      <c r="AI304" s="9"/>
      <c r="BZ304" s="9"/>
      <c r="CA304" s="9"/>
      <c r="CB304" s="9"/>
      <c r="DB304" s="9"/>
      <c r="FN304" s="8"/>
      <c r="FO304" s="8"/>
      <c r="FP304" s="8"/>
      <c r="FQ304" s="8"/>
      <c r="FR304" s="8"/>
      <c r="FS304" s="8"/>
      <c r="FT304" s="8"/>
      <c r="FU304" s="8"/>
    </row>
    <row r="305" spans="29:177" hidden="1" x14ac:dyDescent="0.2">
      <c r="AC305" s="9"/>
      <c r="AD305" s="9"/>
      <c r="AE305" s="9"/>
      <c r="AF305" s="9"/>
      <c r="AG305" s="9"/>
      <c r="AH305" s="9"/>
      <c r="AI305" s="9"/>
      <c r="BZ305" s="9"/>
      <c r="CA305" s="9"/>
      <c r="CB305" s="9"/>
      <c r="DB305" s="9"/>
      <c r="FN305" s="8"/>
      <c r="FO305" s="8"/>
      <c r="FP305" s="8"/>
      <c r="FQ305" s="8"/>
      <c r="FR305" s="8"/>
      <c r="FS305" s="8"/>
      <c r="FT305" s="8"/>
      <c r="FU305" s="8"/>
    </row>
    <row r="306" spans="29:177" hidden="1" x14ac:dyDescent="0.2">
      <c r="AC306" s="9"/>
      <c r="AD306" s="9"/>
      <c r="AE306" s="9"/>
      <c r="AF306" s="9"/>
      <c r="AG306" s="9"/>
      <c r="AH306" s="9"/>
      <c r="AI306" s="9"/>
      <c r="BZ306" s="9"/>
      <c r="CA306" s="9"/>
      <c r="CB306" s="9"/>
      <c r="DB306" s="9"/>
      <c r="FN306" s="8"/>
      <c r="FO306" s="8"/>
      <c r="FP306" s="8"/>
      <c r="FQ306" s="8"/>
      <c r="FR306" s="8"/>
      <c r="FS306" s="8"/>
      <c r="FT306" s="8"/>
      <c r="FU306" s="8"/>
    </row>
    <row r="307" spans="29:177" hidden="1" x14ac:dyDescent="0.2">
      <c r="AC307" s="9"/>
      <c r="AD307" s="9"/>
      <c r="AE307" s="9"/>
      <c r="AF307" s="9"/>
      <c r="AG307" s="9"/>
      <c r="AH307" s="9"/>
      <c r="AI307" s="9"/>
      <c r="BZ307" s="9"/>
      <c r="CA307" s="9"/>
      <c r="CB307" s="9"/>
      <c r="DB307" s="9"/>
      <c r="FN307" s="8"/>
      <c r="FO307" s="8"/>
      <c r="FP307" s="8"/>
      <c r="FQ307" s="8"/>
      <c r="FR307" s="8"/>
      <c r="FS307" s="8"/>
      <c r="FT307" s="8"/>
      <c r="FU307" s="8"/>
    </row>
    <row r="308" spans="29:177" hidden="1" x14ac:dyDescent="0.2">
      <c r="AC308" s="9"/>
      <c r="AD308" s="9"/>
      <c r="AE308" s="9"/>
      <c r="AF308" s="9"/>
      <c r="AG308" s="9"/>
      <c r="AH308" s="9"/>
      <c r="AI308" s="9"/>
      <c r="BZ308" s="9"/>
      <c r="CA308" s="9"/>
      <c r="CB308" s="9"/>
      <c r="DB308" s="9"/>
      <c r="FN308" s="8"/>
      <c r="FO308" s="8"/>
      <c r="FP308" s="8"/>
      <c r="FQ308" s="8"/>
      <c r="FR308" s="8"/>
      <c r="FS308" s="8"/>
      <c r="FT308" s="8"/>
      <c r="FU308" s="8"/>
    </row>
    <row r="309" spans="29:177" hidden="1" x14ac:dyDescent="0.2">
      <c r="AC309" s="9"/>
      <c r="AD309" s="9"/>
      <c r="AE309" s="9"/>
      <c r="AF309" s="9"/>
      <c r="AG309" s="9"/>
      <c r="AH309" s="9"/>
      <c r="AI309" s="9"/>
      <c r="BZ309" s="9"/>
      <c r="CA309" s="9"/>
      <c r="CB309" s="9"/>
      <c r="DB309" s="9"/>
      <c r="FN309" s="8"/>
      <c r="FO309" s="8"/>
      <c r="FP309" s="8"/>
      <c r="FQ309" s="8"/>
      <c r="FR309" s="8"/>
      <c r="FS309" s="8"/>
      <c r="FT309" s="8"/>
      <c r="FU309" s="8"/>
    </row>
    <row r="310" spans="29:177" hidden="1" x14ac:dyDescent="0.2">
      <c r="AC310" s="9"/>
      <c r="AD310" s="9"/>
      <c r="AE310" s="9"/>
      <c r="AF310" s="9"/>
      <c r="AG310" s="9"/>
      <c r="AH310" s="9"/>
      <c r="AI310" s="9"/>
      <c r="BZ310" s="9"/>
      <c r="CA310" s="9"/>
      <c r="CB310" s="9"/>
      <c r="DB310" s="9"/>
      <c r="FN310" s="8"/>
      <c r="FO310" s="8"/>
      <c r="FP310" s="8"/>
      <c r="FQ310" s="8"/>
      <c r="FR310" s="8"/>
      <c r="FS310" s="8"/>
      <c r="FT310" s="8"/>
      <c r="FU310" s="8"/>
    </row>
    <row r="311" spans="29:177" hidden="1" x14ac:dyDescent="0.2">
      <c r="AC311" s="9"/>
      <c r="AD311" s="9"/>
      <c r="AE311" s="9"/>
      <c r="AF311" s="9"/>
      <c r="AG311" s="9"/>
      <c r="AH311" s="9"/>
      <c r="AI311" s="9"/>
      <c r="BZ311" s="9"/>
      <c r="CA311" s="9"/>
      <c r="CB311" s="9"/>
      <c r="DB311" s="9"/>
      <c r="FN311" s="8"/>
      <c r="FO311" s="8"/>
      <c r="FP311" s="8"/>
      <c r="FQ311" s="8"/>
      <c r="FR311" s="8"/>
      <c r="FS311" s="8"/>
      <c r="FT311" s="8"/>
      <c r="FU311" s="8"/>
    </row>
    <row r="312" spans="29:177" hidden="1" x14ac:dyDescent="0.2">
      <c r="AC312" s="9"/>
      <c r="AD312" s="9"/>
      <c r="AE312" s="9"/>
      <c r="AF312" s="9"/>
      <c r="AG312" s="9"/>
      <c r="AH312" s="9"/>
      <c r="AI312" s="9"/>
      <c r="BZ312" s="9"/>
      <c r="CA312" s="9"/>
      <c r="CB312" s="9"/>
      <c r="DB312" s="9"/>
      <c r="FN312" s="8"/>
      <c r="FO312" s="8"/>
      <c r="FP312" s="8"/>
      <c r="FQ312" s="8"/>
      <c r="FR312" s="8"/>
      <c r="FS312" s="8"/>
      <c r="FT312" s="8"/>
      <c r="FU312" s="8"/>
    </row>
    <row r="313" spans="29:177" hidden="1" x14ac:dyDescent="0.2">
      <c r="AC313" s="9"/>
      <c r="AD313" s="9"/>
      <c r="AE313" s="9"/>
      <c r="AF313" s="9"/>
      <c r="AG313" s="9"/>
      <c r="AH313" s="9"/>
      <c r="AI313" s="9"/>
      <c r="BZ313" s="9"/>
      <c r="CA313" s="9"/>
      <c r="CB313" s="9"/>
      <c r="DB313" s="9"/>
      <c r="FN313" s="8"/>
      <c r="FO313" s="8"/>
      <c r="FP313" s="8"/>
      <c r="FQ313" s="8"/>
      <c r="FR313" s="8"/>
      <c r="FS313" s="8"/>
      <c r="FT313" s="8"/>
      <c r="FU313" s="8"/>
    </row>
    <row r="314" spans="29:177" hidden="1" x14ac:dyDescent="0.2">
      <c r="AC314" s="9"/>
      <c r="AD314" s="9"/>
      <c r="AE314" s="9"/>
      <c r="AF314" s="9"/>
      <c r="AG314" s="9"/>
      <c r="AH314" s="9"/>
      <c r="AI314" s="9"/>
      <c r="BZ314" s="9"/>
      <c r="CA314" s="9"/>
      <c r="CB314" s="9"/>
      <c r="DB314" s="9"/>
      <c r="FN314" s="8"/>
      <c r="FO314" s="8"/>
      <c r="FP314" s="8"/>
      <c r="FQ314" s="8"/>
      <c r="FR314" s="8"/>
      <c r="FS314" s="8"/>
      <c r="FT314" s="8"/>
      <c r="FU314" s="8"/>
    </row>
    <row r="315" spans="29:177" hidden="1" x14ac:dyDescent="0.2">
      <c r="AC315" s="9"/>
      <c r="AD315" s="9"/>
      <c r="AE315" s="9"/>
      <c r="AF315" s="9"/>
      <c r="AG315" s="9"/>
      <c r="AH315" s="9"/>
      <c r="AI315" s="9"/>
      <c r="BZ315" s="9"/>
      <c r="CA315" s="9"/>
      <c r="CB315" s="9"/>
      <c r="DB315" s="9"/>
      <c r="FN315" s="8"/>
      <c r="FO315" s="8"/>
      <c r="FP315" s="8"/>
      <c r="FQ315" s="8"/>
      <c r="FR315" s="8"/>
      <c r="FS315" s="8"/>
      <c r="FT315" s="8"/>
      <c r="FU315" s="8"/>
    </row>
    <row r="316" spans="29:177" hidden="1" x14ac:dyDescent="0.2">
      <c r="AC316" s="9"/>
      <c r="AD316" s="9"/>
      <c r="AE316" s="9"/>
      <c r="AF316" s="9"/>
      <c r="AG316" s="9"/>
      <c r="AH316" s="9"/>
      <c r="AI316" s="9"/>
      <c r="BZ316" s="9"/>
      <c r="CA316" s="9"/>
      <c r="CB316" s="9"/>
      <c r="DB316" s="9"/>
      <c r="FN316" s="8"/>
      <c r="FO316" s="8"/>
      <c r="FP316" s="8"/>
      <c r="FQ316" s="8"/>
      <c r="FR316" s="8"/>
      <c r="FS316" s="8"/>
      <c r="FT316" s="8"/>
      <c r="FU316" s="8"/>
    </row>
    <row r="317" spans="29:177" hidden="1" x14ac:dyDescent="0.2">
      <c r="AC317" s="9"/>
      <c r="AD317" s="9"/>
      <c r="AE317" s="9"/>
      <c r="AF317" s="9"/>
      <c r="AG317" s="9"/>
      <c r="AH317" s="9"/>
      <c r="AI317" s="9"/>
      <c r="BZ317" s="9"/>
      <c r="CA317" s="9"/>
      <c r="CB317" s="9"/>
      <c r="DB317" s="9"/>
      <c r="FN317" s="8"/>
      <c r="FO317" s="8"/>
      <c r="FP317" s="8"/>
      <c r="FQ317" s="8"/>
      <c r="FR317" s="8"/>
      <c r="FS317" s="8"/>
      <c r="FT317" s="8"/>
      <c r="FU317" s="8"/>
    </row>
    <row r="318" spans="29:177" hidden="1" x14ac:dyDescent="0.2">
      <c r="AC318" s="9"/>
      <c r="AD318" s="9"/>
      <c r="AE318" s="9"/>
      <c r="AF318" s="9"/>
      <c r="AG318" s="9"/>
      <c r="AH318" s="9"/>
      <c r="AI318" s="9"/>
      <c r="BZ318" s="9"/>
      <c r="CA318" s="9"/>
      <c r="CB318" s="9"/>
      <c r="DB318" s="9"/>
      <c r="FN318" s="8"/>
      <c r="FO318" s="8"/>
      <c r="FP318" s="8"/>
      <c r="FQ318" s="8"/>
      <c r="FR318" s="8"/>
      <c r="FS318" s="8"/>
      <c r="FT318" s="8"/>
      <c r="FU318" s="8"/>
    </row>
    <row r="319" spans="29:177" hidden="1" x14ac:dyDescent="0.2">
      <c r="AC319" s="9"/>
      <c r="AD319" s="9"/>
      <c r="AE319" s="9"/>
      <c r="AF319" s="9"/>
      <c r="AG319" s="9"/>
      <c r="AH319" s="9"/>
      <c r="AI319" s="9"/>
      <c r="BZ319" s="9"/>
      <c r="CA319" s="9"/>
      <c r="CB319" s="9"/>
      <c r="DB319" s="9"/>
      <c r="FN319" s="8"/>
      <c r="FO319" s="8"/>
      <c r="FP319" s="8"/>
      <c r="FQ319" s="8"/>
      <c r="FR319" s="8"/>
      <c r="FS319" s="8"/>
      <c r="FT319" s="8"/>
      <c r="FU319" s="8"/>
    </row>
    <row r="320" spans="29:177" hidden="1" x14ac:dyDescent="0.2">
      <c r="AC320" s="9"/>
      <c r="AD320" s="9"/>
      <c r="AE320" s="9"/>
      <c r="AF320" s="9"/>
      <c r="AG320" s="9"/>
      <c r="AH320" s="9"/>
      <c r="AI320" s="9"/>
      <c r="BZ320" s="9"/>
      <c r="CA320" s="9"/>
      <c r="CB320" s="9"/>
      <c r="DB320" s="9"/>
      <c r="FN320" s="8"/>
      <c r="FO320" s="8"/>
      <c r="FP320" s="8"/>
      <c r="FQ320" s="8"/>
      <c r="FR320" s="8"/>
      <c r="FS320" s="8"/>
      <c r="FT320" s="8"/>
      <c r="FU320" s="8"/>
    </row>
    <row r="321" spans="3:177" hidden="1" x14ac:dyDescent="0.2">
      <c r="AC321" s="9"/>
      <c r="AD321" s="9"/>
      <c r="AE321" s="9"/>
      <c r="AF321" s="9"/>
      <c r="AG321" s="9"/>
      <c r="AH321" s="9"/>
      <c r="AI321" s="9"/>
      <c r="BZ321" s="9"/>
      <c r="CA321" s="9"/>
      <c r="CB321" s="9"/>
      <c r="DB321" s="9"/>
      <c r="FN321" s="8"/>
      <c r="FO321" s="8"/>
      <c r="FP321" s="8"/>
      <c r="FQ321" s="8"/>
      <c r="FR321" s="8"/>
      <c r="FS321" s="8"/>
      <c r="FT321" s="8"/>
      <c r="FU321" s="8"/>
    </row>
    <row r="322" spans="3:177" hidden="1" x14ac:dyDescent="0.2">
      <c r="AC322" s="9"/>
      <c r="AD322" s="9"/>
      <c r="AE322" s="9"/>
      <c r="AF322" s="9"/>
      <c r="AG322" s="9"/>
      <c r="AH322" s="9"/>
      <c r="AI322" s="9"/>
      <c r="BZ322" s="9"/>
      <c r="CA322" s="9"/>
      <c r="CB322" s="9"/>
      <c r="DB322" s="9"/>
      <c r="FN322" s="8"/>
      <c r="FO322" s="8"/>
      <c r="FP322" s="8"/>
      <c r="FQ322" s="8"/>
      <c r="FR322" s="8"/>
      <c r="FS322" s="8"/>
      <c r="FT322" s="8"/>
      <c r="FU322" s="8"/>
    </row>
    <row r="323" spans="3:177" hidden="1" x14ac:dyDescent="0.2">
      <c r="AC323" s="9"/>
      <c r="AD323" s="9"/>
      <c r="AE323" s="9"/>
      <c r="AF323" s="9"/>
      <c r="AG323" s="9"/>
      <c r="AH323" s="9"/>
      <c r="AI323" s="9"/>
      <c r="BZ323" s="9"/>
      <c r="CA323" s="9"/>
      <c r="CB323" s="9"/>
      <c r="DB323" s="9"/>
      <c r="FN323" s="8"/>
      <c r="FO323" s="8"/>
      <c r="FP323" s="8"/>
      <c r="FQ323" s="8"/>
      <c r="FR323" s="8"/>
      <c r="FS323" s="8"/>
      <c r="FT323" s="8"/>
      <c r="FU323" s="8"/>
    </row>
    <row r="324" spans="3:177" hidden="1" x14ac:dyDescent="0.2">
      <c r="C324" s="79" t="str">
        <f>IF(OR(C298="",D324=""),"",EDATE(C298,1))</f>
        <v/>
      </c>
      <c r="D324" s="77" t="str">
        <f>IF(DM245="","",DM245)</f>
        <v/>
      </c>
      <c r="E324" s="77" t="str">
        <f>IF(D324="","",DN245)</f>
        <v/>
      </c>
      <c r="F324" s="77"/>
      <c r="G324" s="77" t="str">
        <f>IF(D324="","",DO245)</f>
        <v/>
      </c>
      <c r="H324" s="77"/>
      <c r="I324" s="77"/>
      <c r="J324" s="77" t="str">
        <f>IF(D324="","",'Mx FORECAST'!DQ245)</f>
        <v/>
      </c>
      <c r="K324" s="77" t="str">
        <f>IF(D324="","",'Mx FORECAST'!DR245)</f>
        <v/>
      </c>
      <c r="L324" s="77"/>
      <c r="M324" s="77"/>
      <c r="N324" s="77"/>
      <c r="O324" s="77" t="str">
        <f>IF(D324="","",'Mx FORECAST'!DT245)</f>
        <v/>
      </c>
      <c r="P324" s="77"/>
      <c r="Q324" s="77" t="str">
        <f>IF(D324="","",'Mx FORECAST'!DU245)</f>
        <v/>
      </c>
      <c r="R324" s="77"/>
      <c r="S324" s="77" t="str">
        <f>IF(D324="","",'Mx FORECAST'!DV245)</f>
        <v/>
      </c>
      <c r="T324" s="77"/>
      <c r="U324" s="42" t="str">
        <f>IF(D324="","",'Mx FORECAST'!DX245)</f>
        <v/>
      </c>
      <c r="X324" s="80" t="str">
        <f>IF(D324="","",'Mx FORECAST'!DY245)</f>
        <v/>
      </c>
      <c r="Y324" s="81" t="str">
        <f>IF(D324="","",'Mx FORECAST'!DZ245)</f>
        <v/>
      </c>
      <c r="AC324" s="9"/>
      <c r="AD324" s="9"/>
      <c r="AE324" s="9"/>
      <c r="AF324" s="9"/>
      <c r="AG324" s="9"/>
      <c r="AH324" s="9"/>
      <c r="AI324" s="9"/>
      <c r="BZ324" s="9"/>
      <c r="CA324" s="9"/>
      <c r="CB324" s="9"/>
      <c r="DB324" s="9"/>
      <c r="FN324" s="8"/>
      <c r="FO324" s="8"/>
      <c r="FP324" s="8"/>
      <c r="FQ324" s="8"/>
      <c r="FR324" s="8"/>
      <c r="FS324" s="8"/>
      <c r="FT324" s="8"/>
      <c r="FU324" s="8"/>
    </row>
    <row r="325" spans="3:177" hidden="1" x14ac:dyDescent="0.2">
      <c r="C325" s="79" t="str">
        <f>IF(OR(C324="",D325=""),"",EDATE(C324,1))</f>
        <v/>
      </c>
      <c r="D325" s="77" t="str">
        <f>IF(DM246="","",DM246)</f>
        <v/>
      </c>
      <c r="E325" s="77" t="str">
        <f>IF(D325="","",DN246)</f>
        <v/>
      </c>
      <c r="F325" s="77"/>
      <c r="G325" s="77" t="str">
        <f>IF(D325="","",DO246)</f>
        <v/>
      </c>
      <c r="H325" s="77"/>
      <c r="I325" s="77"/>
      <c r="J325" s="77" t="str">
        <f>IF(D325="","",'Mx FORECAST'!DQ246)</f>
        <v/>
      </c>
      <c r="K325" s="77" t="str">
        <f>IF(D325="","",'Mx FORECAST'!DR246)</f>
        <v/>
      </c>
      <c r="L325" s="77"/>
      <c r="M325" s="77"/>
      <c r="N325" s="77"/>
      <c r="O325" s="77" t="str">
        <f>IF(D325="","",'Mx FORECAST'!DT246)</f>
        <v/>
      </c>
      <c r="P325" s="77"/>
      <c r="Q325" s="77" t="str">
        <f>IF(D325="","",'Mx FORECAST'!DU246)</f>
        <v/>
      </c>
      <c r="R325" s="77"/>
      <c r="S325" s="77" t="str">
        <f>IF(D325="","",'Mx FORECAST'!DV246)</f>
        <v/>
      </c>
      <c r="T325" s="77"/>
      <c r="U325" s="42" t="str">
        <f>IF(D325="","",'Mx FORECAST'!DX246)</f>
        <v/>
      </c>
      <c r="X325" s="80" t="str">
        <f>IF(D325="","",'Mx FORECAST'!DY246)</f>
        <v/>
      </c>
      <c r="Y325" s="81" t="str">
        <f>IF(D325="","",'Mx FORECAST'!DZ246)</f>
        <v/>
      </c>
      <c r="AC325" s="9"/>
      <c r="AD325" s="9"/>
      <c r="AE325" s="9"/>
      <c r="AF325" s="9"/>
      <c r="AG325" s="9"/>
      <c r="AH325" s="9"/>
      <c r="AI325" s="9"/>
      <c r="BZ325" s="9"/>
      <c r="CA325" s="9"/>
      <c r="CB325" s="9"/>
      <c r="DB325" s="9"/>
      <c r="FN325" s="8"/>
      <c r="FO325" s="8"/>
      <c r="FP325" s="8"/>
      <c r="FQ325" s="8"/>
      <c r="FR325" s="8"/>
      <c r="FS325" s="8"/>
      <c r="FT325" s="8"/>
      <c r="FU325" s="8"/>
    </row>
    <row r="326" spans="3:177" hidden="1" x14ac:dyDescent="0.2">
      <c r="AC326" s="9"/>
      <c r="AD326" s="9"/>
      <c r="AE326" s="9"/>
      <c r="AF326" s="9"/>
      <c r="AG326" s="9"/>
      <c r="AH326" s="9"/>
      <c r="AI326" s="9"/>
      <c r="BZ326" s="9"/>
      <c r="CA326" s="9"/>
      <c r="CB326" s="9"/>
      <c r="DB326" s="9"/>
      <c r="FN326" s="8"/>
      <c r="FO326" s="8"/>
      <c r="FP326" s="8"/>
      <c r="FQ326" s="8"/>
      <c r="FR326" s="8"/>
      <c r="FS326" s="8"/>
      <c r="FT326" s="8"/>
      <c r="FU326" s="8"/>
    </row>
    <row r="327" spans="3:177" hidden="1" x14ac:dyDescent="0.2">
      <c r="AC327" s="9"/>
      <c r="AD327" s="9"/>
      <c r="AE327" s="9"/>
      <c r="AF327" s="9"/>
      <c r="AG327" s="9"/>
      <c r="AH327" s="9"/>
      <c r="AI327" s="9"/>
      <c r="BZ327" s="9"/>
      <c r="CA327" s="9"/>
      <c r="CB327" s="9"/>
      <c r="DB327" s="9"/>
      <c r="FN327" s="8"/>
      <c r="FO327" s="8"/>
      <c r="FP327" s="8"/>
      <c r="FQ327" s="8"/>
      <c r="FR327" s="8"/>
      <c r="FS327" s="8"/>
      <c r="FT327" s="8"/>
      <c r="FU327" s="8"/>
    </row>
    <row r="328" spans="3:177" hidden="1" x14ac:dyDescent="0.2">
      <c r="AC328" s="9"/>
      <c r="AD328" s="9"/>
      <c r="AE328" s="9"/>
      <c r="AF328" s="9"/>
      <c r="AG328" s="9"/>
      <c r="AH328" s="9"/>
      <c r="AI328" s="9"/>
      <c r="BZ328" s="9"/>
      <c r="CA328" s="9"/>
      <c r="CB328" s="9"/>
      <c r="DB328" s="9"/>
      <c r="FN328" s="8"/>
      <c r="FO328" s="8"/>
      <c r="FP328" s="8"/>
      <c r="FQ328" s="8"/>
      <c r="FR328" s="8"/>
      <c r="FS328" s="8"/>
      <c r="FT328" s="8"/>
      <c r="FU328" s="8"/>
    </row>
    <row r="329" spans="3:177" hidden="1" x14ac:dyDescent="0.2">
      <c r="AC329" s="9"/>
      <c r="AD329" s="9"/>
      <c r="AE329" s="9"/>
      <c r="AF329" s="9"/>
      <c r="AG329" s="9"/>
      <c r="AH329" s="9"/>
      <c r="AI329" s="9"/>
      <c r="BZ329" s="9"/>
      <c r="CA329" s="9"/>
      <c r="CB329" s="9"/>
      <c r="DB329" s="9"/>
      <c r="FN329" s="8"/>
      <c r="FO329" s="8"/>
      <c r="FP329" s="8"/>
      <c r="FQ329" s="8"/>
      <c r="FR329" s="8"/>
      <c r="FS329" s="8"/>
      <c r="FT329" s="8"/>
      <c r="FU329" s="8"/>
    </row>
    <row r="330" spans="3:177" hidden="1" x14ac:dyDescent="0.2">
      <c r="AJ330" s="8"/>
      <c r="DB330" s="9"/>
      <c r="FN330" s="8"/>
      <c r="FO330" s="8"/>
      <c r="FP330" s="8"/>
      <c r="FQ330" s="8"/>
      <c r="FR330" s="8"/>
      <c r="FS330" s="8"/>
      <c r="FT330" s="8"/>
      <c r="FU330" s="8"/>
    </row>
    <row r="331" spans="3:177" hidden="1" x14ac:dyDescent="0.2">
      <c r="AJ331" s="8"/>
      <c r="DB331" s="9"/>
      <c r="FN331" s="8"/>
      <c r="FO331" s="8"/>
      <c r="FP331" s="8"/>
      <c r="FQ331" s="8"/>
      <c r="FR331" s="8"/>
      <c r="FS331" s="8"/>
      <c r="FT331" s="8"/>
      <c r="FU331" s="8"/>
    </row>
    <row r="332" spans="3:177" hidden="1" x14ac:dyDescent="0.2">
      <c r="AJ332" s="8"/>
      <c r="DB332" s="9"/>
      <c r="FN332" s="8"/>
      <c r="FO332" s="8"/>
      <c r="FP332" s="8"/>
      <c r="FQ332" s="8"/>
      <c r="FR332" s="8"/>
      <c r="FS332" s="8"/>
      <c r="FT332" s="8"/>
      <c r="FU332" s="8"/>
    </row>
    <row r="333" spans="3:177" hidden="1" x14ac:dyDescent="0.2">
      <c r="AJ333" s="8"/>
      <c r="DB333" s="9"/>
      <c r="FN333" s="8"/>
      <c r="FO333" s="8"/>
      <c r="FP333" s="8"/>
      <c r="FQ333" s="8"/>
      <c r="FR333" s="8"/>
      <c r="FS333" s="8"/>
      <c r="FT333" s="8"/>
      <c r="FU333" s="8"/>
    </row>
    <row r="334" spans="3:177" hidden="1" x14ac:dyDescent="0.2">
      <c r="AJ334" s="8"/>
      <c r="DB334" s="9"/>
      <c r="FN334" s="8"/>
      <c r="FO334" s="8"/>
      <c r="FP334" s="8"/>
      <c r="FQ334" s="8"/>
      <c r="FR334" s="8"/>
      <c r="FS334" s="8"/>
      <c r="FT334" s="8"/>
      <c r="FU334" s="8"/>
    </row>
    <row r="335" spans="3:177" hidden="1" x14ac:dyDescent="0.2">
      <c r="AJ335" s="8"/>
      <c r="DB335" s="9"/>
      <c r="FN335" s="8"/>
      <c r="FO335" s="8"/>
      <c r="FP335" s="8"/>
      <c r="FQ335" s="8"/>
      <c r="FR335" s="8"/>
      <c r="FS335" s="8"/>
      <c r="FT335" s="8"/>
      <c r="FU335" s="8"/>
    </row>
    <row r="336" spans="3:177" hidden="1" x14ac:dyDescent="0.2">
      <c r="AJ336" s="8"/>
      <c r="DB336" s="9"/>
      <c r="FN336" s="8"/>
      <c r="FO336" s="8"/>
      <c r="FP336" s="8"/>
      <c r="FQ336" s="8"/>
      <c r="FR336" s="8"/>
      <c r="FS336" s="8"/>
      <c r="FT336" s="8"/>
      <c r="FU336" s="8"/>
    </row>
    <row r="337" spans="36:177" hidden="1" x14ac:dyDescent="0.2">
      <c r="AJ337" s="8"/>
      <c r="FN337" s="8"/>
      <c r="FO337" s="8"/>
      <c r="FP337" s="8"/>
      <c r="FQ337" s="8"/>
      <c r="FR337" s="8"/>
      <c r="FS337" s="8"/>
      <c r="FT337" s="8"/>
      <c r="FU337" s="8"/>
    </row>
    <row r="338" spans="36:177" hidden="1" x14ac:dyDescent="0.2">
      <c r="AJ338" s="8"/>
      <c r="FN338" s="8"/>
      <c r="FO338" s="8"/>
      <c r="FP338" s="8"/>
      <c r="FQ338" s="8"/>
      <c r="FR338" s="8"/>
      <c r="FS338" s="8"/>
      <c r="FT338" s="8"/>
      <c r="FU338" s="8"/>
    </row>
    <row r="339" spans="36:177" hidden="1" x14ac:dyDescent="0.2">
      <c r="AJ339" s="8"/>
      <c r="FN339" s="8"/>
      <c r="FO339" s="8"/>
      <c r="FP339" s="8"/>
      <c r="FQ339" s="8"/>
      <c r="FR339" s="8"/>
      <c r="FS339" s="8"/>
      <c r="FT339" s="8"/>
      <c r="FU339" s="8"/>
    </row>
    <row r="340" spans="36:177" hidden="1" x14ac:dyDescent="0.2">
      <c r="AJ340" s="8"/>
      <c r="FN340" s="8"/>
      <c r="FO340" s="8"/>
      <c r="FP340" s="8"/>
      <c r="FQ340" s="8"/>
      <c r="FR340" s="8"/>
      <c r="FS340" s="8"/>
      <c r="FT340" s="8"/>
      <c r="FU340" s="8"/>
    </row>
    <row r="341" spans="36:177" hidden="1" x14ac:dyDescent="0.2">
      <c r="AJ341" s="8"/>
      <c r="FN341" s="8"/>
      <c r="FO341" s="8"/>
      <c r="FP341" s="8"/>
      <c r="FQ341" s="8"/>
      <c r="FR341" s="8"/>
      <c r="FS341" s="8"/>
      <c r="FT341" s="8"/>
      <c r="FU341" s="8"/>
    </row>
    <row r="342" spans="36:177" hidden="1" x14ac:dyDescent="0.2">
      <c r="AJ342" s="8"/>
      <c r="FN342" s="8"/>
      <c r="FO342" s="8"/>
      <c r="FP342" s="8"/>
      <c r="FQ342" s="8"/>
      <c r="FR342" s="8"/>
      <c r="FS342" s="8"/>
      <c r="FT342" s="8"/>
      <c r="FU342" s="8"/>
    </row>
    <row r="343" spans="36:177" hidden="1" x14ac:dyDescent="0.2">
      <c r="AJ343" s="8"/>
      <c r="FN343" s="8"/>
      <c r="FO343" s="8"/>
      <c r="FP343" s="8"/>
      <c r="FQ343" s="8"/>
      <c r="FR343" s="8"/>
      <c r="FS343" s="8"/>
      <c r="FT343" s="8"/>
      <c r="FU343" s="8"/>
    </row>
    <row r="344" spans="36:177" hidden="1" x14ac:dyDescent="0.2">
      <c r="AJ344" s="8"/>
      <c r="FN344" s="8"/>
      <c r="FO344" s="8"/>
      <c r="FP344" s="8"/>
      <c r="FQ344" s="8"/>
      <c r="FR344" s="8"/>
      <c r="FS344" s="8"/>
      <c r="FT344" s="8"/>
      <c r="FU344" s="8"/>
    </row>
    <row r="345" spans="36:177" hidden="1" x14ac:dyDescent="0.2">
      <c r="AJ345" s="8"/>
      <c r="FN345" s="8"/>
      <c r="FO345" s="8"/>
      <c r="FP345" s="8"/>
      <c r="FQ345" s="8"/>
      <c r="FR345" s="8"/>
      <c r="FS345" s="8"/>
      <c r="FT345" s="8"/>
      <c r="FU345" s="8"/>
    </row>
    <row r="346" spans="36:177" hidden="1" x14ac:dyDescent="0.2">
      <c r="AJ346" s="8"/>
      <c r="FN346" s="8"/>
      <c r="FO346" s="8"/>
      <c r="FP346" s="8"/>
      <c r="FQ346" s="8"/>
      <c r="FR346" s="8"/>
      <c r="FS346" s="8"/>
      <c r="FT346" s="8"/>
      <c r="FU346" s="8"/>
    </row>
    <row r="347" spans="36:177" hidden="1" x14ac:dyDescent="0.2">
      <c r="AJ347" s="8"/>
      <c r="FN347" s="8"/>
      <c r="FO347" s="8"/>
      <c r="FP347" s="8"/>
      <c r="FQ347" s="8"/>
      <c r="FR347" s="8"/>
      <c r="FS347" s="8"/>
      <c r="FT347" s="8"/>
      <c r="FU347" s="8"/>
    </row>
    <row r="348" spans="36:177" hidden="1" x14ac:dyDescent="0.2">
      <c r="AJ348" s="8"/>
      <c r="FN348" s="8"/>
      <c r="FO348" s="8"/>
      <c r="FP348" s="8"/>
      <c r="FQ348" s="8"/>
      <c r="FR348" s="8"/>
      <c r="FS348" s="8"/>
      <c r="FT348" s="8"/>
      <c r="FU348" s="8"/>
    </row>
    <row r="349" spans="36:177" hidden="1" x14ac:dyDescent="0.2">
      <c r="AJ349" s="8"/>
      <c r="FN349" s="8"/>
      <c r="FO349" s="8"/>
      <c r="FP349" s="8"/>
      <c r="FQ349" s="8"/>
      <c r="FR349" s="8"/>
      <c r="FS349" s="8"/>
      <c r="FT349" s="8"/>
      <c r="FU349" s="8"/>
    </row>
    <row r="350" spans="36:177" hidden="1" x14ac:dyDescent="0.2">
      <c r="AJ350" s="8"/>
      <c r="FN350" s="8"/>
      <c r="FO350" s="8"/>
      <c r="FP350" s="8"/>
      <c r="FQ350" s="8"/>
      <c r="FR350" s="8"/>
      <c r="FS350" s="8"/>
      <c r="FT350" s="8"/>
      <c r="FU350" s="8"/>
    </row>
    <row r="351" spans="36:177" hidden="1" x14ac:dyDescent="0.2">
      <c r="AJ351" s="8"/>
      <c r="FN351" s="8"/>
      <c r="FO351" s="8"/>
      <c r="FP351" s="8"/>
      <c r="FQ351" s="8"/>
      <c r="FR351" s="8"/>
      <c r="FS351" s="8"/>
      <c r="FT351" s="8"/>
      <c r="FU351" s="8"/>
    </row>
    <row r="352" spans="36:177" hidden="1" x14ac:dyDescent="0.2">
      <c r="AJ352" s="8"/>
      <c r="FN352" s="8"/>
      <c r="FO352" s="8"/>
      <c r="FP352" s="8"/>
      <c r="FQ352" s="8"/>
      <c r="FR352" s="8"/>
      <c r="FS352" s="8"/>
      <c r="FT352" s="8"/>
      <c r="FU352" s="8"/>
    </row>
    <row r="353" spans="36:177" hidden="1" x14ac:dyDescent="0.2">
      <c r="AJ353" s="8"/>
      <c r="FN353" s="8"/>
      <c r="FO353" s="8"/>
      <c r="FP353" s="8"/>
      <c r="FQ353" s="8"/>
      <c r="FR353" s="8"/>
      <c r="FS353" s="8"/>
      <c r="FT353" s="8"/>
      <c r="FU353" s="8"/>
    </row>
    <row r="354" spans="36:177" hidden="1" x14ac:dyDescent="0.2">
      <c r="AJ354" s="8"/>
      <c r="FN354" s="8"/>
      <c r="FO354" s="8"/>
      <c r="FP354" s="8"/>
      <c r="FQ354" s="8"/>
      <c r="FR354" s="8"/>
      <c r="FS354" s="8"/>
      <c r="FT354" s="8"/>
      <c r="FU354" s="8"/>
    </row>
    <row r="355" spans="36:177" hidden="1" x14ac:dyDescent="0.2">
      <c r="AJ355" s="8"/>
      <c r="FN355" s="8"/>
      <c r="FO355" s="8"/>
      <c r="FP355" s="8"/>
      <c r="FQ355" s="8"/>
      <c r="FR355" s="8"/>
      <c r="FS355" s="8"/>
      <c r="FT355" s="8"/>
      <c r="FU355" s="8"/>
    </row>
    <row r="356" spans="36:177" hidden="1" x14ac:dyDescent="0.2">
      <c r="AJ356" s="8"/>
      <c r="FN356" s="8"/>
      <c r="FO356" s="8"/>
      <c r="FP356" s="8"/>
      <c r="FQ356" s="8"/>
      <c r="FR356" s="8"/>
      <c r="FS356" s="8"/>
      <c r="FT356" s="8"/>
      <c r="FU356" s="8"/>
    </row>
    <row r="357" spans="36:177" hidden="1" x14ac:dyDescent="0.2">
      <c r="AJ357" s="8"/>
      <c r="FN357" s="8"/>
      <c r="FO357" s="8"/>
      <c r="FP357" s="8"/>
      <c r="FQ357" s="8"/>
      <c r="FR357" s="8"/>
      <c r="FS357" s="8"/>
      <c r="FT357" s="8"/>
      <c r="FU357" s="8"/>
    </row>
    <row r="358" spans="36:177" hidden="1" x14ac:dyDescent="0.2">
      <c r="AJ358" s="8"/>
      <c r="FN358" s="8"/>
      <c r="FO358" s="8"/>
      <c r="FP358" s="8"/>
      <c r="FQ358" s="8"/>
      <c r="FR358" s="8"/>
      <c r="FS358" s="8"/>
      <c r="FT358" s="8"/>
      <c r="FU358" s="8"/>
    </row>
    <row r="359" spans="36:177" hidden="1" x14ac:dyDescent="0.2">
      <c r="AJ359" s="8"/>
      <c r="FN359" s="8"/>
      <c r="FO359" s="8"/>
      <c r="FP359" s="8"/>
      <c r="FQ359" s="8"/>
      <c r="FR359" s="8"/>
      <c r="FS359" s="8"/>
      <c r="FT359" s="8"/>
      <c r="FU359" s="8"/>
    </row>
    <row r="360" spans="36:177" hidden="1" x14ac:dyDescent="0.2">
      <c r="AJ360" s="8"/>
      <c r="FN360" s="8"/>
      <c r="FO360" s="8"/>
      <c r="FP360" s="8"/>
      <c r="FQ360" s="8"/>
      <c r="FR360" s="8"/>
      <c r="FS360" s="8"/>
      <c r="FT360" s="8"/>
      <c r="FU360" s="8"/>
    </row>
    <row r="361" spans="36:177" hidden="1" x14ac:dyDescent="0.2">
      <c r="AJ361" s="8"/>
      <c r="FN361" s="8"/>
      <c r="FO361" s="8"/>
      <c r="FP361" s="8"/>
      <c r="FQ361" s="8"/>
      <c r="FR361" s="8"/>
      <c r="FS361" s="8"/>
      <c r="FT361" s="8"/>
      <c r="FU361" s="8"/>
    </row>
    <row r="362" spans="36:177" hidden="1" x14ac:dyDescent="0.2">
      <c r="AJ362" s="8"/>
      <c r="FN362" s="8"/>
      <c r="FO362" s="8"/>
      <c r="FP362" s="8"/>
      <c r="FQ362" s="8"/>
      <c r="FR362" s="8"/>
      <c r="FS362" s="8"/>
      <c r="FT362" s="8"/>
      <c r="FU362" s="8"/>
    </row>
    <row r="363" spans="36:177" hidden="1" x14ac:dyDescent="0.2">
      <c r="AJ363" s="8"/>
      <c r="FN363" s="8"/>
      <c r="FO363" s="8"/>
      <c r="FP363" s="8"/>
      <c r="FQ363" s="8"/>
      <c r="FR363" s="8"/>
      <c r="FS363" s="8"/>
      <c r="FT363" s="8"/>
      <c r="FU363" s="8"/>
    </row>
    <row r="364" spans="36:177" hidden="1" x14ac:dyDescent="0.2">
      <c r="AJ364" s="8"/>
      <c r="FN364" s="8"/>
      <c r="FO364" s="8"/>
      <c r="FP364" s="8"/>
      <c r="FQ364" s="8"/>
      <c r="FR364" s="8"/>
      <c r="FS364" s="8"/>
      <c r="FT364" s="8"/>
      <c r="FU364" s="8"/>
    </row>
    <row r="365" spans="36:177" hidden="1" x14ac:dyDescent="0.2">
      <c r="AJ365" s="8"/>
      <c r="FN365" s="8"/>
      <c r="FO365" s="8"/>
      <c r="FP365" s="8"/>
      <c r="FQ365" s="8"/>
      <c r="FR365" s="8"/>
      <c r="FS365" s="8"/>
      <c r="FT365" s="8"/>
      <c r="FU365" s="8"/>
    </row>
    <row r="366" spans="36:177" hidden="1" x14ac:dyDescent="0.2">
      <c r="AJ366" s="8"/>
      <c r="FN366" s="8"/>
      <c r="FO366" s="8"/>
      <c r="FP366" s="8"/>
      <c r="FQ366" s="8"/>
      <c r="FR366" s="8"/>
      <c r="FS366" s="8"/>
      <c r="FT366" s="8"/>
      <c r="FU366" s="8"/>
    </row>
    <row r="367" spans="36:177" hidden="1" x14ac:dyDescent="0.2">
      <c r="AJ367" s="8"/>
      <c r="FN367" s="8"/>
      <c r="FO367" s="8"/>
      <c r="FP367" s="8"/>
      <c r="FQ367" s="8"/>
      <c r="FR367" s="8"/>
      <c r="FS367" s="8"/>
      <c r="FT367" s="8"/>
      <c r="FU367" s="8"/>
    </row>
    <row r="368" spans="36:177" hidden="1" x14ac:dyDescent="0.2">
      <c r="AJ368" s="8"/>
      <c r="FN368" s="8"/>
      <c r="FO368" s="8"/>
      <c r="FP368" s="8"/>
      <c r="FQ368" s="8"/>
      <c r="FR368" s="8"/>
      <c r="FS368" s="8"/>
      <c r="FT368" s="8"/>
      <c r="FU368" s="8"/>
    </row>
    <row r="369" spans="36:177" hidden="1" x14ac:dyDescent="0.2">
      <c r="AJ369" s="8"/>
      <c r="FN369" s="8"/>
      <c r="FO369" s="8"/>
      <c r="FP369" s="8"/>
      <c r="FQ369" s="8"/>
      <c r="FR369" s="8"/>
      <c r="FS369" s="8"/>
      <c r="FT369" s="8"/>
      <c r="FU369" s="8"/>
    </row>
    <row r="370" spans="36:177" hidden="1" x14ac:dyDescent="0.2">
      <c r="AJ370" s="8"/>
      <c r="FN370" s="8"/>
      <c r="FO370" s="8"/>
      <c r="FP370" s="8"/>
      <c r="FQ370" s="8"/>
      <c r="FR370" s="8"/>
      <c r="FS370" s="8"/>
      <c r="FT370" s="8"/>
      <c r="FU370" s="8"/>
    </row>
    <row r="371" spans="36:177" hidden="1" x14ac:dyDescent="0.2">
      <c r="AJ371" s="8"/>
      <c r="FN371" s="8"/>
      <c r="FO371" s="8"/>
      <c r="FP371" s="8"/>
      <c r="FQ371" s="8"/>
      <c r="FR371" s="8"/>
      <c r="FS371" s="8"/>
      <c r="FT371" s="8"/>
      <c r="FU371" s="8"/>
    </row>
    <row r="372" spans="36:177" hidden="1" x14ac:dyDescent="0.2">
      <c r="AJ372" s="8"/>
    </row>
    <row r="373" spans="36:177" hidden="1" x14ac:dyDescent="0.2">
      <c r="AJ373" s="8"/>
    </row>
    <row r="374" spans="36:177" hidden="1" x14ac:dyDescent="0.2">
      <c r="AJ374" s="8"/>
    </row>
    <row r="375" spans="36:177" hidden="1" x14ac:dyDescent="0.2">
      <c r="AJ375" s="8"/>
    </row>
    <row r="376" spans="36:177" hidden="1" x14ac:dyDescent="0.2">
      <c r="AJ376" s="8"/>
      <c r="FN376" s="8"/>
      <c r="FO376" s="8"/>
      <c r="FP376" s="8"/>
      <c r="FQ376" s="8"/>
      <c r="FR376" s="8"/>
      <c r="FS376" s="8"/>
      <c r="FT376" s="8"/>
      <c r="FU376" s="8"/>
    </row>
    <row r="377" spans="36:177" hidden="1" x14ac:dyDescent="0.2">
      <c r="AJ377" s="8"/>
      <c r="FN377" s="8"/>
      <c r="FO377" s="8"/>
      <c r="FP377" s="8"/>
      <c r="FQ377" s="8"/>
      <c r="FR377" s="8"/>
      <c r="FS377" s="8"/>
      <c r="FT377" s="8"/>
      <c r="FU377" s="8"/>
    </row>
    <row r="378" spans="36:177" hidden="1" x14ac:dyDescent="0.2">
      <c r="AJ378" s="8"/>
      <c r="FN378" s="8"/>
      <c r="FO378" s="8"/>
      <c r="FP378" s="8"/>
      <c r="FQ378" s="8"/>
      <c r="FR378" s="8"/>
      <c r="FS378" s="8"/>
      <c r="FT378" s="8"/>
      <c r="FU378" s="8"/>
    </row>
    <row r="379" spans="36:177" hidden="1" x14ac:dyDescent="0.2">
      <c r="AJ379" s="8"/>
      <c r="FN379" s="8"/>
      <c r="FO379" s="8"/>
      <c r="FP379" s="8"/>
      <c r="FQ379" s="8"/>
      <c r="FR379" s="8"/>
      <c r="FS379" s="8"/>
      <c r="FT379" s="8"/>
      <c r="FU379" s="8"/>
    </row>
    <row r="380" spans="36:177" hidden="1" x14ac:dyDescent="0.2">
      <c r="AJ380" s="8"/>
      <c r="FN380" s="8"/>
      <c r="FO380" s="8"/>
      <c r="FP380" s="8"/>
      <c r="FQ380" s="8"/>
      <c r="FR380" s="8"/>
      <c r="FS380" s="8"/>
      <c r="FT380" s="8"/>
      <c r="FU380" s="8"/>
    </row>
    <row r="381" spans="36:177" hidden="1" x14ac:dyDescent="0.2">
      <c r="AJ381" s="8"/>
      <c r="FN381" s="8"/>
      <c r="FO381" s="8"/>
      <c r="FP381" s="8"/>
      <c r="FQ381" s="8"/>
      <c r="FR381" s="8"/>
      <c r="FS381" s="8"/>
      <c r="FT381" s="8"/>
      <c r="FU381" s="8"/>
    </row>
    <row r="382" spans="36:177" hidden="1" x14ac:dyDescent="0.2">
      <c r="AJ382" s="8"/>
      <c r="FN382" s="8"/>
      <c r="FO382" s="8"/>
      <c r="FP382" s="8"/>
      <c r="FQ382" s="8"/>
      <c r="FR382" s="8"/>
      <c r="FS382" s="8"/>
      <c r="FT382" s="8"/>
      <c r="FU382" s="8"/>
    </row>
    <row r="383" spans="36:177" hidden="1" x14ac:dyDescent="0.2">
      <c r="AJ383" s="8"/>
      <c r="FN383" s="8"/>
      <c r="FO383" s="8"/>
      <c r="FP383" s="8"/>
      <c r="FQ383" s="8"/>
      <c r="FR383" s="8"/>
      <c r="FS383" s="8"/>
      <c r="FT383" s="8"/>
      <c r="FU383" s="8"/>
    </row>
    <row r="384" spans="36:177" hidden="1" x14ac:dyDescent="0.2">
      <c r="AJ384" s="8"/>
      <c r="FN384" s="8"/>
      <c r="FO384" s="8"/>
      <c r="FP384" s="8"/>
      <c r="FQ384" s="8"/>
      <c r="FR384" s="8"/>
      <c r="FS384" s="8"/>
      <c r="FT384" s="8"/>
      <c r="FU384" s="8"/>
    </row>
    <row r="385" spans="36:177" hidden="1" x14ac:dyDescent="0.2">
      <c r="AJ385" s="8"/>
      <c r="FN385" s="8"/>
      <c r="FO385" s="8"/>
      <c r="FP385" s="8"/>
      <c r="FQ385" s="8"/>
      <c r="FR385" s="8"/>
      <c r="FS385" s="8"/>
      <c r="FT385" s="8"/>
      <c r="FU385" s="8"/>
    </row>
    <row r="386" spans="36:177" hidden="1" x14ac:dyDescent="0.2">
      <c r="AJ386" s="8"/>
      <c r="FN386" s="8"/>
      <c r="FO386" s="8"/>
      <c r="FP386" s="8"/>
      <c r="FQ386" s="8"/>
      <c r="FR386" s="8"/>
      <c r="FS386" s="8"/>
      <c r="FT386" s="8"/>
      <c r="FU386" s="8"/>
    </row>
    <row r="387" spans="36:177" hidden="1" x14ac:dyDescent="0.2">
      <c r="AJ387" s="8"/>
      <c r="FN387" s="8"/>
      <c r="FO387" s="8"/>
      <c r="FP387" s="8"/>
      <c r="FQ387" s="8"/>
      <c r="FR387" s="8"/>
      <c r="FS387" s="8"/>
      <c r="FT387" s="8"/>
      <c r="FU387" s="8"/>
    </row>
    <row r="388" spans="36:177" hidden="1" x14ac:dyDescent="0.2">
      <c r="AJ388" s="8"/>
      <c r="FN388" s="8"/>
      <c r="FO388" s="8"/>
      <c r="FP388" s="8"/>
      <c r="FQ388" s="8"/>
      <c r="FR388" s="8"/>
      <c r="FS388" s="8"/>
      <c r="FT388" s="8"/>
      <c r="FU388" s="8"/>
    </row>
    <row r="389" spans="36:177" hidden="1" x14ac:dyDescent="0.2">
      <c r="AJ389" s="8"/>
      <c r="FN389" s="8"/>
      <c r="FO389" s="8"/>
      <c r="FP389" s="8"/>
      <c r="FQ389" s="8"/>
      <c r="FR389" s="8"/>
      <c r="FS389" s="8"/>
      <c r="FT389" s="8"/>
      <c r="FU389" s="8"/>
    </row>
    <row r="390" spans="36:177" hidden="1" x14ac:dyDescent="0.2">
      <c r="AJ390" s="8"/>
      <c r="FN390" s="8"/>
      <c r="FO390" s="8"/>
      <c r="FP390" s="8"/>
      <c r="FQ390" s="8"/>
      <c r="FR390" s="8"/>
      <c r="FS390" s="8"/>
      <c r="FT390" s="8"/>
      <c r="FU390" s="8"/>
    </row>
    <row r="391" spans="36:177" hidden="1" x14ac:dyDescent="0.2">
      <c r="AJ391" s="8"/>
      <c r="FN391" s="8"/>
      <c r="FO391" s="8"/>
      <c r="FP391" s="8"/>
      <c r="FQ391" s="8"/>
      <c r="FR391" s="8"/>
      <c r="FS391" s="8"/>
      <c r="FT391" s="8"/>
      <c r="FU391" s="8"/>
    </row>
    <row r="392" spans="36:177" hidden="1" x14ac:dyDescent="0.2">
      <c r="AJ392" s="8"/>
      <c r="FN392" s="8"/>
      <c r="FO392" s="8"/>
      <c r="FP392" s="8"/>
      <c r="FQ392" s="8"/>
      <c r="FR392" s="8"/>
      <c r="FS392" s="8"/>
      <c r="FT392" s="8"/>
      <c r="FU392" s="8"/>
    </row>
    <row r="393" spans="36:177" hidden="1" x14ac:dyDescent="0.2">
      <c r="AJ393" s="8"/>
      <c r="FN393" s="8"/>
      <c r="FO393" s="8"/>
      <c r="FP393" s="8"/>
      <c r="FQ393" s="8"/>
      <c r="FR393" s="8"/>
      <c r="FS393" s="8"/>
      <c r="FT393" s="8"/>
      <c r="FU393" s="8"/>
    </row>
    <row r="394" spans="36:177" hidden="1" x14ac:dyDescent="0.2">
      <c r="AJ394" s="8"/>
      <c r="FN394" s="8"/>
      <c r="FO394" s="8"/>
      <c r="FP394" s="8"/>
      <c r="FQ394" s="8"/>
      <c r="FR394" s="8"/>
      <c r="FS394" s="8"/>
      <c r="FT394" s="8"/>
      <c r="FU394" s="8"/>
    </row>
    <row r="395" spans="36:177" hidden="1" x14ac:dyDescent="0.2">
      <c r="AJ395" s="8"/>
      <c r="FN395" s="8"/>
      <c r="FO395" s="8"/>
      <c r="FP395" s="8"/>
      <c r="FQ395" s="8"/>
      <c r="FR395" s="8"/>
      <c r="FS395" s="8"/>
      <c r="FT395" s="8"/>
      <c r="FU395" s="8"/>
    </row>
    <row r="396" spans="36:177" hidden="1" x14ac:dyDescent="0.2">
      <c r="AJ396" s="8"/>
      <c r="FN396" s="8"/>
      <c r="FO396" s="8"/>
      <c r="FP396" s="8"/>
      <c r="FQ396" s="8"/>
      <c r="FR396" s="8"/>
      <c r="FS396" s="8"/>
      <c r="FT396" s="8"/>
      <c r="FU396" s="8"/>
    </row>
    <row r="397" spans="36:177" hidden="1" x14ac:dyDescent="0.2">
      <c r="AJ397" s="8"/>
      <c r="FN397" s="8"/>
      <c r="FO397" s="8"/>
      <c r="FP397" s="8"/>
      <c r="FQ397" s="8"/>
      <c r="FR397" s="8"/>
      <c r="FS397" s="8"/>
      <c r="FT397" s="8"/>
      <c r="FU397" s="8"/>
    </row>
    <row r="398" spans="36:177" hidden="1" x14ac:dyDescent="0.2">
      <c r="AJ398" s="8"/>
      <c r="FN398" s="8"/>
      <c r="FO398" s="8"/>
      <c r="FP398" s="8"/>
      <c r="FQ398" s="8"/>
      <c r="FR398" s="8"/>
      <c r="FS398" s="8"/>
      <c r="FT398" s="8"/>
      <c r="FU398" s="8"/>
    </row>
    <row r="399" spans="36:177" hidden="1" x14ac:dyDescent="0.2">
      <c r="AJ399" s="8"/>
      <c r="FN399" s="8"/>
      <c r="FO399" s="8"/>
      <c r="FP399" s="8"/>
      <c r="FQ399" s="8"/>
      <c r="FR399" s="8"/>
      <c r="FS399" s="8"/>
      <c r="FT399" s="8"/>
      <c r="FU399" s="8"/>
    </row>
    <row r="400" spans="36:177" hidden="1" x14ac:dyDescent="0.2">
      <c r="AJ400" s="8"/>
      <c r="FN400" s="8"/>
      <c r="FO400" s="8"/>
      <c r="FP400" s="8"/>
      <c r="FQ400" s="8"/>
      <c r="FR400" s="8"/>
      <c r="FS400" s="8"/>
      <c r="FT400" s="8"/>
      <c r="FU400" s="8"/>
    </row>
    <row r="401" spans="36:177" hidden="1" x14ac:dyDescent="0.2">
      <c r="AJ401" s="8"/>
      <c r="FN401" s="8"/>
      <c r="FO401" s="8"/>
      <c r="FP401" s="8"/>
      <c r="FQ401" s="8"/>
      <c r="FR401" s="8"/>
      <c r="FS401" s="8"/>
      <c r="FT401" s="8"/>
      <c r="FU401" s="8"/>
    </row>
    <row r="402" spans="36:177" hidden="1" x14ac:dyDescent="0.2">
      <c r="AJ402" s="8"/>
      <c r="FN402" s="8"/>
      <c r="FO402" s="8"/>
      <c r="FP402" s="8"/>
      <c r="FQ402" s="8"/>
      <c r="FR402" s="8"/>
      <c r="FS402" s="8"/>
      <c r="FT402" s="8"/>
      <c r="FU402" s="8"/>
    </row>
    <row r="403" spans="36:177" hidden="1" x14ac:dyDescent="0.2">
      <c r="AJ403" s="8"/>
      <c r="FN403" s="8"/>
      <c r="FO403" s="8"/>
      <c r="FP403" s="8"/>
      <c r="FQ403" s="8"/>
      <c r="FR403" s="8"/>
      <c r="FS403" s="8"/>
      <c r="FT403" s="8"/>
      <c r="FU403" s="8"/>
    </row>
    <row r="404" spans="36:177" hidden="1" x14ac:dyDescent="0.2">
      <c r="AJ404" s="8"/>
      <c r="FN404" s="8"/>
      <c r="FO404" s="8"/>
      <c r="FP404" s="8"/>
      <c r="FQ404" s="8"/>
      <c r="FR404" s="8"/>
      <c r="FS404" s="8"/>
      <c r="FT404" s="8"/>
      <c r="FU404" s="8"/>
    </row>
    <row r="405" spans="36:177" hidden="1" x14ac:dyDescent="0.2">
      <c r="AJ405" s="8"/>
      <c r="FN405" s="8"/>
      <c r="FO405" s="8"/>
      <c r="FP405" s="8"/>
      <c r="FQ405" s="8"/>
      <c r="FR405" s="8"/>
      <c r="FS405" s="8"/>
      <c r="FT405" s="8"/>
      <c r="FU405" s="8"/>
    </row>
    <row r="406" spans="36:177" hidden="1" x14ac:dyDescent="0.2">
      <c r="AJ406" s="8"/>
      <c r="FN406" s="8"/>
      <c r="FO406" s="8"/>
      <c r="FP406" s="8"/>
      <c r="FQ406" s="8"/>
      <c r="FR406" s="8"/>
      <c r="FS406" s="8"/>
      <c r="FT406" s="8"/>
      <c r="FU406" s="8"/>
    </row>
    <row r="407" spans="36:177" hidden="1" x14ac:dyDescent="0.2">
      <c r="AJ407" s="8"/>
      <c r="FN407" s="8"/>
      <c r="FO407" s="8"/>
      <c r="FP407" s="8"/>
      <c r="FQ407" s="8"/>
      <c r="FR407" s="8"/>
      <c r="FS407" s="8"/>
      <c r="FT407" s="8"/>
      <c r="FU407" s="8"/>
    </row>
    <row r="408" spans="36:177" hidden="1" x14ac:dyDescent="0.2">
      <c r="AJ408" s="8"/>
      <c r="FN408" s="8"/>
      <c r="FO408" s="8"/>
      <c r="FP408" s="8"/>
      <c r="FQ408" s="8"/>
      <c r="FR408" s="8"/>
      <c r="FS408" s="8"/>
      <c r="FT408" s="8"/>
      <c r="FU408" s="8"/>
    </row>
    <row r="409" spans="36:177" hidden="1" x14ac:dyDescent="0.2">
      <c r="AJ409" s="8"/>
      <c r="FN409" s="8"/>
      <c r="FO409" s="8"/>
      <c r="FP409" s="8"/>
      <c r="FQ409" s="8"/>
      <c r="FR409" s="8"/>
      <c r="FS409" s="8"/>
      <c r="FT409" s="8"/>
      <c r="FU409" s="8"/>
    </row>
    <row r="410" spans="36:177" hidden="1" x14ac:dyDescent="0.2">
      <c r="AJ410" s="8"/>
      <c r="FN410" s="8"/>
      <c r="FO410" s="8"/>
      <c r="FP410" s="8"/>
      <c r="FQ410" s="8"/>
      <c r="FR410" s="8"/>
      <c r="FS410" s="8"/>
      <c r="FT410" s="8"/>
      <c r="FU410" s="8"/>
    </row>
    <row r="411" spans="36:177" hidden="1" x14ac:dyDescent="0.2">
      <c r="AJ411" s="8"/>
      <c r="FN411" s="8"/>
      <c r="FO411" s="8"/>
      <c r="FP411" s="8"/>
      <c r="FQ411" s="8"/>
      <c r="FR411" s="8"/>
      <c r="FS411" s="8"/>
      <c r="FT411" s="8"/>
      <c r="FU411" s="8"/>
    </row>
    <row r="412" spans="36:177" hidden="1" x14ac:dyDescent="0.2">
      <c r="AJ412" s="8"/>
      <c r="FN412" s="8"/>
      <c r="FO412" s="8"/>
      <c r="FP412" s="8"/>
      <c r="FQ412" s="8"/>
      <c r="FR412" s="8"/>
      <c r="FS412" s="8"/>
      <c r="FT412" s="8"/>
      <c r="FU412" s="8"/>
    </row>
    <row r="413" spans="36:177" hidden="1" x14ac:dyDescent="0.2">
      <c r="AJ413" s="8"/>
      <c r="FN413" s="8"/>
      <c r="FO413" s="8"/>
      <c r="FP413" s="8"/>
      <c r="FQ413" s="8"/>
      <c r="FR413" s="8"/>
      <c r="FS413" s="8"/>
      <c r="FT413" s="8"/>
      <c r="FU413" s="8"/>
    </row>
    <row r="414" spans="36:177" hidden="1" x14ac:dyDescent="0.2">
      <c r="AJ414" s="8"/>
      <c r="FN414" s="8"/>
      <c r="FO414" s="8"/>
      <c r="FP414" s="8"/>
      <c r="FQ414" s="8"/>
      <c r="FR414" s="8"/>
      <c r="FS414" s="8"/>
      <c r="FT414" s="8"/>
      <c r="FU414" s="8"/>
    </row>
    <row r="415" spans="36:177" hidden="1" x14ac:dyDescent="0.2">
      <c r="AJ415" s="8"/>
      <c r="FN415" s="8"/>
      <c r="FO415" s="8"/>
      <c r="FP415" s="8"/>
      <c r="FQ415" s="8"/>
      <c r="FR415" s="8"/>
      <c r="FS415" s="8"/>
      <c r="FT415" s="8"/>
      <c r="FU415" s="8"/>
    </row>
    <row r="416" spans="36:177" hidden="1" x14ac:dyDescent="0.2">
      <c r="AJ416" s="8"/>
      <c r="FN416" s="8"/>
      <c r="FO416" s="8"/>
      <c r="FP416" s="8"/>
      <c r="FQ416" s="8"/>
      <c r="FR416" s="8"/>
      <c r="FS416" s="8"/>
      <c r="FT416" s="8"/>
      <c r="FU416" s="8"/>
    </row>
    <row r="417" spans="36:177" hidden="1" x14ac:dyDescent="0.2">
      <c r="AJ417" s="8"/>
      <c r="FN417" s="8"/>
      <c r="FO417" s="8"/>
      <c r="FP417" s="8"/>
      <c r="FQ417" s="8"/>
      <c r="FR417" s="8"/>
      <c r="FS417" s="8"/>
      <c r="FT417" s="8"/>
      <c r="FU417" s="8"/>
    </row>
    <row r="418" spans="36:177" hidden="1" x14ac:dyDescent="0.2">
      <c r="AJ418" s="8"/>
      <c r="FN418" s="8"/>
      <c r="FO418" s="8"/>
      <c r="FP418" s="8"/>
      <c r="FQ418" s="8"/>
      <c r="FR418" s="8"/>
      <c r="FS418" s="8"/>
      <c r="FT418" s="8"/>
      <c r="FU418" s="8"/>
    </row>
    <row r="419" spans="36:177" hidden="1" x14ac:dyDescent="0.2">
      <c r="AJ419" s="8"/>
      <c r="FN419" s="8"/>
      <c r="FO419" s="8"/>
      <c r="FP419" s="8"/>
      <c r="FQ419" s="8"/>
      <c r="FR419" s="8"/>
      <c r="FS419" s="8"/>
      <c r="FT419" s="8"/>
      <c r="FU419" s="8"/>
    </row>
    <row r="420" spans="36:177" hidden="1" x14ac:dyDescent="0.2">
      <c r="AJ420" s="8"/>
      <c r="FN420" s="8"/>
      <c r="FO420" s="8"/>
      <c r="FP420" s="8"/>
      <c r="FQ420" s="8"/>
      <c r="FR420" s="8"/>
      <c r="FS420" s="8"/>
      <c r="FT420" s="8"/>
      <c r="FU420" s="8"/>
    </row>
    <row r="421" spans="36:177" hidden="1" x14ac:dyDescent="0.2">
      <c r="AJ421" s="8"/>
      <c r="FN421" s="8"/>
      <c r="FO421" s="8"/>
      <c r="FP421" s="8"/>
      <c r="FQ421" s="8"/>
      <c r="FR421" s="8"/>
      <c r="FS421" s="8"/>
      <c r="FT421" s="8"/>
      <c r="FU421" s="8"/>
    </row>
    <row r="422" spans="36:177" hidden="1" x14ac:dyDescent="0.2">
      <c r="AJ422" s="8"/>
      <c r="FN422" s="8"/>
      <c r="FO422" s="8"/>
      <c r="FP422" s="8"/>
      <c r="FQ422" s="8"/>
      <c r="FR422" s="8"/>
      <c r="FS422" s="8"/>
      <c r="FT422" s="8"/>
      <c r="FU422" s="8"/>
    </row>
    <row r="423" spans="36:177" hidden="1" x14ac:dyDescent="0.2">
      <c r="AJ423" s="8"/>
      <c r="FN423" s="8"/>
      <c r="FO423" s="8"/>
      <c r="FP423" s="8"/>
      <c r="FQ423" s="8"/>
      <c r="FR423" s="8"/>
      <c r="FS423" s="8"/>
      <c r="FT423" s="8"/>
      <c r="FU423" s="8"/>
    </row>
    <row r="424" spans="36:177" hidden="1" x14ac:dyDescent="0.2">
      <c r="AJ424" s="8"/>
      <c r="FN424" s="8"/>
      <c r="FO424" s="8"/>
      <c r="FP424" s="8"/>
      <c r="FQ424" s="8"/>
      <c r="FR424" s="8"/>
      <c r="FS424" s="8"/>
      <c r="FT424" s="8"/>
      <c r="FU424" s="8"/>
    </row>
    <row r="425" spans="36:177" hidden="1" x14ac:dyDescent="0.2">
      <c r="AJ425" s="8"/>
      <c r="FN425" s="8"/>
      <c r="FO425" s="8"/>
      <c r="FP425" s="8"/>
      <c r="FQ425" s="8"/>
      <c r="FR425" s="8"/>
      <c r="FS425" s="8"/>
      <c r="FT425" s="8"/>
      <c r="FU425" s="8"/>
    </row>
    <row r="426" spans="36:177" hidden="1" x14ac:dyDescent="0.2">
      <c r="AJ426" s="8"/>
      <c r="FN426" s="8"/>
      <c r="FO426" s="8"/>
      <c r="FP426" s="8"/>
      <c r="FQ426" s="8"/>
      <c r="FR426" s="8"/>
      <c r="FS426" s="8"/>
      <c r="FT426" s="8"/>
      <c r="FU426" s="8"/>
    </row>
    <row r="427" spans="36:177" hidden="1" x14ac:dyDescent="0.2">
      <c r="AJ427" s="8"/>
      <c r="FN427" s="8"/>
      <c r="FO427" s="8"/>
      <c r="FP427" s="8"/>
      <c r="FQ427" s="8"/>
      <c r="FR427" s="8"/>
      <c r="FS427" s="8"/>
      <c r="FT427" s="8"/>
      <c r="FU427" s="8"/>
    </row>
    <row r="428" spans="36:177" hidden="1" x14ac:dyDescent="0.2">
      <c r="AJ428" s="8"/>
      <c r="FN428" s="8"/>
      <c r="FO428" s="8"/>
      <c r="FP428" s="8"/>
      <c r="FQ428" s="8"/>
      <c r="FR428" s="8"/>
      <c r="FS428" s="8"/>
      <c r="FT428" s="8"/>
      <c r="FU428" s="8"/>
    </row>
    <row r="429" spans="36:177" hidden="1" x14ac:dyDescent="0.2">
      <c r="AJ429" s="8"/>
      <c r="FN429" s="8"/>
      <c r="FO429" s="8"/>
      <c r="FP429" s="8"/>
      <c r="FQ429" s="8"/>
      <c r="FR429" s="8"/>
      <c r="FS429" s="8"/>
      <c r="FT429" s="8"/>
      <c r="FU429" s="8"/>
    </row>
    <row r="430" spans="36:177" hidden="1" x14ac:dyDescent="0.2">
      <c r="AJ430" s="8"/>
      <c r="FN430" s="8"/>
      <c r="FO430" s="8"/>
      <c r="FP430" s="8"/>
      <c r="FQ430" s="8"/>
      <c r="FR430" s="8"/>
      <c r="FS430" s="8"/>
      <c r="FT430" s="8"/>
      <c r="FU430" s="8"/>
    </row>
    <row r="431" spans="36:177" hidden="1" x14ac:dyDescent="0.2">
      <c r="AJ431" s="8"/>
      <c r="FN431" s="8"/>
      <c r="FO431" s="8"/>
      <c r="FP431" s="8"/>
      <c r="FQ431" s="8"/>
      <c r="FR431" s="8"/>
      <c r="FS431" s="8"/>
      <c r="FT431" s="8"/>
      <c r="FU431" s="8"/>
    </row>
    <row r="432" spans="36:177" hidden="1" x14ac:dyDescent="0.2">
      <c r="AJ432" s="8"/>
      <c r="FN432" s="8"/>
      <c r="FO432" s="8"/>
      <c r="FP432" s="8"/>
      <c r="FQ432" s="8"/>
      <c r="FR432" s="8"/>
      <c r="FS432" s="8"/>
      <c r="FT432" s="8"/>
      <c r="FU432" s="8"/>
    </row>
    <row r="433" spans="36:177" hidden="1" x14ac:dyDescent="0.2">
      <c r="AJ433" s="8"/>
      <c r="FN433" s="8"/>
      <c r="FO433" s="8"/>
      <c r="FP433" s="8"/>
      <c r="FQ433" s="8"/>
      <c r="FR433" s="8"/>
      <c r="FS433" s="8"/>
      <c r="FT433" s="8"/>
      <c r="FU433" s="8"/>
    </row>
    <row r="434" spans="36:177" hidden="1" x14ac:dyDescent="0.2">
      <c r="AJ434" s="8"/>
      <c r="FN434" s="8"/>
      <c r="FO434" s="8"/>
      <c r="FP434" s="8"/>
      <c r="FQ434" s="8"/>
      <c r="FR434" s="8"/>
      <c r="FS434" s="8"/>
      <c r="FT434" s="8"/>
      <c r="FU434" s="8"/>
    </row>
    <row r="435" spans="36:177" hidden="1" x14ac:dyDescent="0.2">
      <c r="AJ435" s="8"/>
      <c r="FN435" s="8"/>
      <c r="FO435" s="8"/>
      <c r="FP435" s="8"/>
      <c r="FQ435" s="8"/>
      <c r="FR435" s="8"/>
      <c r="FS435" s="8"/>
      <c r="FT435" s="8"/>
      <c r="FU435" s="8"/>
    </row>
    <row r="436" spans="36:177" hidden="1" x14ac:dyDescent="0.2">
      <c r="AJ436" s="8"/>
      <c r="FN436" s="8"/>
      <c r="FO436" s="8"/>
      <c r="FP436" s="8"/>
      <c r="FQ436" s="8"/>
      <c r="FR436" s="8"/>
      <c r="FS436" s="8"/>
      <c r="FT436" s="8"/>
      <c r="FU436" s="8"/>
    </row>
    <row r="437" spans="36:177" hidden="1" x14ac:dyDescent="0.2">
      <c r="AJ437" s="8"/>
      <c r="FN437" s="8"/>
      <c r="FO437" s="8"/>
      <c r="FP437" s="8"/>
      <c r="FQ437" s="8"/>
      <c r="FR437" s="8"/>
      <c r="FS437" s="8"/>
      <c r="FT437" s="8"/>
      <c r="FU437" s="8"/>
    </row>
    <row r="438" spans="36:177" hidden="1" x14ac:dyDescent="0.2">
      <c r="AJ438" s="8"/>
      <c r="FN438" s="8"/>
      <c r="FO438" s="8"/>
      <c r="FP438" s="8"/>
      <c r="FQ438" s="8"/>
      <c r="FR438" s="8"/>
      <c r="FS438" s="8"/>
      <c r="FT438" s="8"/>
      <c r="FU438" s="8"/>
    </row>
    <row r="439" spans="36:177" hidden="1" x14ac:dyDescent="0.2">
      <c r="AJ439" s="8"/>
      <c r="FN439" s="8"/>
      <c r="FO439" s="8"/>
      <c r="FP439" s="8"/>
      <c r="FQ439" s="8"/>
      <c r="FR439" s="8"/>
      <c r="FS439" s="8"/>
      <c r="FT439" s="8"/>
      <c r="FU439" s="8"/>
    </row>
    <row r="440" spans="36:177" hidden="1" x14ac:dyDescent="0.2">
      <c r="AJ440" s="8"/>
      <c r="FN440" s="8"/>
      <c r="FO440" s="8"/>
      <c r="FP440" s="8"/>
      <c r="FQ440" s="8"/>
      <c r="FR440" s="8"/>
      <c r="FS440" s="8"/>
      <c r="FT440" s="8"/>
      <c r="FU440" s="8"/>
    </row>
    <row r="441" spans="36:177" hidden="1" x14ac:dyDescent="0.2">
      <c r="AJ441" s="8"/>
      <c r="FN441" s="8"/>
      <c r="FO441" s="8"/>
      <c r="FP441" s="8"/>
      <c r="FQ441" s="8"/>
      <c r="FR441" s="8"/>
      <c r="FS441" s="8"/>
      <c r="FT441" s="8"/>
      <c r="FU441" s="8"/>
    </row>
    <row r="442" spans="36:177" hidden="1" x14ac:dyDescent="0.2">
      <c r="AJ442" s="8"/>
      <c r="FN442" s="8"/>
      <c r="FO442" s="8"/>
      <c r="FP442" s="8"/>
      <c r="FQ442" s="8"/>
      <c r="FR442" s="8"/>
      <c r="FS442" s="8"/>
      <c r="FT442" s="8"/>
      <c r="FU442" s="8"/>
    </row>
    <row r="443" spans="36:177" hidden="1" x14ac:dyDescent="0.2">
      <c r="AJ443" s="8"/>
      <c r="FN443" s="8"/>
      <c r="FO443" s="8"/>
      <c r="FP443" s="8"/>
      <c r="FQ443" s="8"/>
      <c r="FR443" s="8"/>
      <c r="FS443" s="8"/>
      <c r="FT443" s="8"/>
      <c r="FU443" s="8"/>
    </row>
    <row r="444" spans="36:177" hidden="1" x14ac:dyDescent="0.2">
      <c r="AJ444" s="8"/>
      <c r="FN444" s="8"/>
      <c r="FO444" s="8"/>
      <c r="FP444" s="8"/>
      <c r="FQ444" s="8"/>
      <c r="FR444" s="8"/>
      <c r="FS444" s="8"/>
      <c r="FT444" s="8"/>
      <c r="FU444" s="8"/>
    </row>
    <row r="445" spans="36:177" hidden="1" x14ac:dyDescent="0.2">
      <c r="AJ445" s="8"/>
      <c r="FN445" s="8"/>
      <c r="FO445" s="8"/>
      <c r="FP445" s="8"/>
      <c r="FQ445" s="8"/>
      <c r="FR445" s="8"/>
      <c r="FS445" s="8"/>
      <c r="FT445" s="8"/>
      <c r="FU445" s="8"/>
    </row>
    <row r="446" spans="36:177" hidden="1" x14ac:dyDescent="0.2">
      <c r="AJ446" s="8"/>
      <c r="FN446" s="8"/>
      <c r="FO446" s="8"/>
      <c r="FP446" s="8"/>
      <c r="FQ446" s="8"/>
      <c r="FR446" s="8"/>
      <c r="FS446" s="8"/>
      <c r="FT446" s="8"/>
      <c r="FU446" s="8"/>
    </row>
    <row r="447" spans="36:177" hidden="1" x14ac:dyDescent="0.2">
      <c r="AJ447" s="8"/>
      <c r="FN447" s="8"/>
      <c r="FO447" s="8"/>
      <c r="FP447" s="8"/>
      <c r="FQ447" s="8"/>
      <c r="FR447" s="8"/>
      <c r="FS447" s="8"/>
      <c r="FT447" s="8"/>
      <c r="FU447" s="8"/>
    </row>
    <row r="448" spans="36:177" hidden="1" x14ac:dyDescent="0.2">
      <c r="AJ448" s="8"/>
      <c r="FN448" s="8"/>
      <c r="FO448" s="8"/>
      <c r="FP448" s="8"/>
      <c r="FQ448" s="8"/>
      <c r="FR448" s="8"/>
      <c r="FS448" s="8"/>
      <c r="FT448" s="8"/>
      <c r="FU448" s="8"/>
    </row>
    <row r="449" spans="36:177" hidden="1" x14ac:dyDescent="0.2">
      <c r="AJ449" s="8"/>
      <c r="FN449" s="8"/>
      <c r="FO449" s="8"/>
      <c r="FP449" s="8"/>
      <c r="FQ449" s="8"/>
      <c r="FR449" s="8"/>
      <c r="FS449" s="8"/>
      <c r="FT449" s="8"/>
      <c r="FU449" s="8"/>
    </row>
    <row r="450" spans="36:177" hidden="1" x14ac:dyDescent="0.2">
      <c r="AJ450" s="8"/>
      <c r="FN450" s="8"/>
      <c r="FO450" s="8"/>
      <c r="FP450" s="8"/>
      <c r="FQ450" s="8"/>
      <c r="FR450" s="8"/>
      <c r="FS450" s="8"/>
      <c r="FT450" s="8"/>
      <c r="FU450" s="8"/>
    </row>
    <row r="451" spans="36:177" hidden="1" x14ac:dyDescent="0.2">
      <c r="AJ451" s="8"/>
      <c r="FN451" s="8"/>
      <c r="FO451" s="8"/>
      <c r="FP451" s="8"/>
      <c r="FQ451" s="8"/>
      <c r="FR451" s="8"/>
      <c r="FS451" s="8"/>
      <c r="FT451" s="8"/>
      <c r="FU451" s="8"/>
    </row>
    <row r="452" spans="36:177" hidden="1" x14ac:dyDescent="0.2">
      <c r="AJ452" s="8"/>
      <c r="FN452" s="8"/>
      <c r="FO452" s="8"/>
      <c r="FP452" s="8"/>
      <c r="FQ452" s="8"/>
      <c r="FR452" s="8"/>
      <c r="FS452" s="8"/>
      <c r="FT452" s="8"/>
      <c r="FU452" s="8"/>
    </row>
    <row r="453" spans="36:177" hidden="1" x14ac:dyDescent="0.2">
      <c r="AJ453" s="8"/>
      <c r="FN453" s="8"/>
      <c r="FO453" s="8"/>
      <c r="FP453" s="8"/>
      <c r="FQ453" s="8"/>
      <c r="FR453" s="8"/>
      <c r="FS453" s="8"/>
      <c r="FT453" s="8"/>
      <c r="FU453" s="8"/>
    </row>
    <row r="454" spans="36:177" hidden="1" x14ac:dyDescent="0.2">
      <c r="AJ454" s="8"/>
      <c r="FN454" s="8"/>
      <c r="FO454" s="8"/>
      <c r="FP454" s="8"/>
      <c r="FQ454" s="8"/>
      <c r="FR454" s="8"/>
      <c r="FS454" s="8"/>
      <c r="FT454" s="8"/>
      <c r="FU454" s="8"/>
    </row>
    <row r="455" spans="36:177" hidden="1" x14ac:dyDescent="0.2">
      <c r="AJ455" s="8"/>
      <c r="FN455" s="8"/>
      <c r="FO455" s="8"/>
      <c r="FP455" s="8"/>
      <c r="FQ455" s="8"/>
      <c r="FR455" s="8"/>
      <c r="FS455" s="8"/>
      <c r="FT455" s="8"/>
      <c r="FU455" s="8"/>
    </row>
    <row r="456" spans="36:177" hidden="1" x14ac:dyDescent="0.2">
      <c r="AJ456" s="8"/>
      <c r="FN456" s="8"/>
      <c r="FO456" s="8"/>
      <c r="FP456" s="8"/>
      <c r="FQ456" s="8"/>
      <c r="FR456" s="8"/>
      <c r="FS456" s="8"/>
      <c r="FT456" s="8"/>
      <c r="FU456" s="8"/>
    </row>
    <row r="457" spans="36:177" hidden="1" x14ac:dyDescent="0.2">
      <c r="AJ457" s="8"/>
      <c r="FN457" s="8"/>
      <c r="FO457" s="8"/>
      <c r="FP457" s="8"/>
      <c r="FQ457" s="8"/>
      <c r="FR457" s="8"/>
      <c r="FS457" s="8"/>
      <c r="FT457" s="8"/>
      <c r="FU457" s="8"/>
    </row>
    <row r="458" spans="36:177" hidden="1" x14ac:dyDescent="0.2">
      <c r="AJ458" s="8"/>
      <c r="FN458" s="8"/>
      <c r="FO458" s="8"/>
      <c r="FP458" s="8"/>
      <c r="FQ458" s="8"/>
      <c r="FR458" s="8"/>
      <c r="FS458" s="8"/>
      <c r="FT458" s="8"/>
      <c r="FU458" s="8"/>
    </row>
    <row r="459" spans="36:177" hidden="1" x14ac:dyDescent="0.2">
      <c r="AJ459" s="8"/>
      <c r="FN459" s="8"/>
      <c r="FO459" s="8"/>
      <c r="FP459" s="8"/>
      <c r="FQ459" s="8"/>
      <c r="FR459" s="8"/>
      <c r="FS459" s="8"/>
      <c r="FT459" s="8"/>
      <c r="FU459" s="8"/>
    </row>
    <row r="460" spans="36:177" hidden="1" x14ac:dyDescent="0.2">
      <c r="AJ460" s="8"/>
      <c r="FN460" s="8"/>
      <c r="FO460" s="8"/>
      <c r="FP460" s="8"/>
      <c r="FQ460" s="8"/>
      <c r="FR460" s="8"/>
      <c r="FS460" s="8"/>
      <c r="FT460" s="8"/>
      <c r="FU460" s="8"/>
    </row>
    <row r="461" spans="36:177" hidden="1" x14ac:dyDescent="0.2">
      <c r="AJ461" s="8"/>
      <c r="FN461" s="8"/>
      <c r="FO461" s="8"/>
      <c r="FP461" s="8"/>
      <c r="FQ461" s="8"/>
      <c r="FR461" s="8"/>
      <c r="FS461" s="8"/>
      <c r="FT461" s="8"/>
      <c r="FU461" s="8"/>
    </row>
    <row r="462" spans="36:177" hidden="1" x14ac:dyDescent="0.2">
      <c r="AJ462" s="8"/>
      <c r="FN462" s="8"/>
      <c r="FO462" s="8"/>
      <c r="FP462" s="8"/>
      <c r="FQ462" s="8"/>
      <c r="FR462" s="8"/>
      <c r="FS462" s="8"/>
      <c r="FT462" s="8"/>
      <c r="FU462" s="8"/>
    </row>
    <row r="463" spans="36:177" hidden="1" x14ac:dyDescent="0.2">
      <c r="AJ463" s="8"/>
      <c r="FN463" s="8"/>
      <c r="FO463" s="8"/>
      <c r="FP463" s="8"/>
      <c r="FQ463" s="8"/>
      <c r="FR463" s="8"/>
      <c r="FS463" s="8"/>
      <c r="FT463" s="8"/>
      <c r="FU463" s="8"/>
    </row>
    <row r="464" spans="36:177" hidden="1" x14ac:dyDescent="0.2">
      <c r="AJ464" s="8"/>
      <c r="FN464" s="8"/>
      <c r="FO464" s="8"/>
      <c r="FP464" s="8"/>
      <c r="FQ464" s="8"/>
      <c r="FR464" s="8"/>
      <c r="FS464" s="8"/>
      <c r="FT464" s="8"/>
      <c r="FU464" s="8"/>
    </row>
    <row r="465" spans="36:177" hidden="1" x14ac:dyDescent="0.2">
      <c r="AJ465" s="8"/>
      <c r="FN465" s="8"/>
      <c r="FO465" s="8"/>
      <c r="FP465" s="8"/>
      <c r="FQ465" s="8"/>
      <c r="FR465" s="8"/>
      <c r="FS465" s="8"/>
      <c r="FT465" s="8"/>
      <c r="FU465" s="8"/>
    </row>
    <row r="466" spans="36:177" hidden="1" x14ac:dyDescent="0.2">
      <c r="AJ466" s="8"/>
      <c r="FN466" s="8"/>
      <c r="FO466" s="8"/>
      <c r="FP466" s="8"/>
      <c r="FQ466" s="8"/>
      <c r="FR466" s="8"/>
      <c r="FS466" s="8"/>
      <c r="FT466" s="8"/>
      <c r="FU466" s="8"/>
    </row>
    <row r="467" spans="36:177" hidden="1" x14ac:dyDescent="0.2">
      <c r="AJ467" s="8"/>
      <c r="FN467" s="8"/>
      <c r="FO467" s="8"/>
      <c r="FP467" s="8"/>
      <c r="FQ467" s="8"/>
      <c r="FR467" s="8"/>
      <c r="FS467" s="8"/>
      <c r="FT467" s="8"/>
      <c r="FU467" s="8"/>
    </row>
    <row r="468" spans="36:177" hidden="1" x14ac:dyDescent="0.2">
      <c r="AJ468" s="8"/>
      <c r="FN468" s="8"/>
      <c r="FO468" s="8"/>
      <c r="FP468" s="8"/>
      <c r="FQ468" s="8"/>
      <c r="FR468" s="8"/>
      <c r="FS468" s="8"/>
      <c r="FT468" s="8"/>
      <c r="FU468" s="8"/>
    </row>
    <row r="469" spans="36:177" hidden="1" x14ac:dyDescent="0.2">
      <c r="AJ469" s="8"/>
      <c r="FN469" s="8"/>
      <c r="FO469" s="8"/>
      <c r="FP469" s="8"/>
      <c r="FQ469" s="8"/>
      <c r="FR469" s="8"/>
      <c r="FS469" s="8"/>
      <c r="FT469" s="8"/>
      <c r="FU469" s="8"/>
    </row>
    <row r="470" spans="36:177" hidden="1" x14ac:dyDescent="0.2">
      <c r="AJ470" s="8"/>
      <c r="FN470" s="8"/>
      <c r="FO470" s="8"/>
      <c r="FP470" s="8"/>
      <c r="FQ470" s="8"/>
      <c r="FR470" s="8"/>
      <c r="FS470" s="8"/>
      <c r="FT470" s="8"/>
      <c r="FU470" s="8"/>
    </row>
    <row r="471" spans="36:177" hidden="1" x14ac:dyDescent="0.2">
      <c r="AJ471" s="8"/>
      <c r="FN471" s="8"/>
      <c r="FO471" s="8"/>
      <c r="FP471" s="8"/>
      <c r="FQ471" s="8"/>
      <c r="FR471" s="8"/>
      <c r="FS471" s="8"/>
      <c r="FT471" s="8"/>
      <c r="FU471" s="8"/>
    </row>
    <row r="472" spans="36:177" hidden="1" x14ac:dyDescent="0.2">
      <c r="AJ472" s="8"/>
      <c r="FN472" s="8"/>
      <c r="FO472" s="8"/>
      <c r="FP472" s="8"/>
      <c r="FQ472" s="8"/>
      <c r="FR472" s="8"/>
      <c r="FS472" s="8"/>
      <c r="FT472" s="8"/>
      <c r="FU472" s="8"/>
    </row>
    <row r="473" spans="36:177" hidden="1" x14ac:dyDescent="0.2">
      <c r="AJ473" s="8"/>
      <c r="FN473" s="8"/>
      <c r="FO473" s="8"/>
      <c r="FP473" s="8"/>
      <c r="FQ473" s="8"/>
      <c r="FR473" s="8"/>
      <c r="FS473" s="8"/>
      <c r="FT473" s="8"/>
      <c r="FU473" s="8"/>
    </row>
    <row r="474" spans="36:177" hidden="1" x14ac:dyDescent="0.2">
      <c r="AJ474" s="8"/>
      <c r="FN474" s="8"/>
      <c r="FO474" s="8"/>
      <c r="FP474" s="8"/>
      <c r="FQ474" s="8"/>
      <c r="FR474" s="8"/>
      <c r="FS474" s="8"/>
      <c r="FT474" s="8"/>
      <c r="FU474" s="8"/>
    </row>
    <row r="475" spans="36:177" hidden="1" x14ac:dyDescent="0.2">
      <c r="AJ475" s="8"/>
      <c r="FN475" s="8"/>
      <c r="FO475" s="8"/>
      <c r="FP475" s="8"/>
      <c r="FQ475" s="8"/>
      <c r="FR475" s="8"/>
      <c r="FS475" s="8"/>
      <c r="FT475" s="8"/>
      <c r="FU475" s="8"/>
    </row>
    <row r="476" spans="36:177" hidden="1" x14ac:dyDescent="0.2">
      <c r="AJ476" s="8"/>
      <c r="FN476" s="8"/>
      <c r="FO476" s="8"/>
      <c r="FP476" s="8"/>
      <c r="FQ476" s="8"/>
      <c r="FR476" s="8"/>
      <c r="FS476" s="8"/>
      <c r="FT476" s="8"/>
      <c r="FU476" s="8"/>
    </row>
    <row r="477" spans="36:177" hidden="1" x14ac:dyDescent="0.2">
      <c r="AJ477" s="8"/>
      <c r="FN477" s="8"/>
      <c r="FO477" s="8"/>
      <c r="FP477" s="8"/>
      <c r="FQ477" s="8"/>
      <c r="FR477" s="8"/>
      <c r="FS477" s="8"/>
      <c r="FT477" s="8"/>
      <c r="FU477" s="8"/>
    </row>
    <row r="478" spans="36:177" hidden="1" x14ac:dyDescent="0.2">
      <c r="AJ478" s="8"/>
      <c r="FN478" s="8"/>
      <c r="FO478" s="8"/>
      <c r="FP478" s="8"/>
      <c r="FQ478" s="8"/>
      <c r="FR478" s="8"/>
      <c r="FS478" s="8"/>
      <c r="FT478" s="8"/>
      <c r="FU478" s="8"/>
    </row>
    <row r="479" spans="36:177" hidden="1" x14ac:dyDescent="0.2">
      <c r="AJ479" s="8"/>
      <c r="FN479" s="8"/>
      <c r="FO479" s="8"/>
      <c r="FP479" s="8"/>
      <c r="FQ479" s="8"/>
      <c r="FR479" s="8"/>
      <c r="FS479" s="8"/>
      <c r="FT479" s="8"/>
      <c r="FU479" s="8"/>
    </row>
    <row r="480" spans="36:177" hidden="1" x14ac:dyDescent="0.2">
      <c r="AJ480" s="8"/>
      <c r="FN480" s="8"/>
      <c r="FO480" s="8"/>
      <c r="FP480" s="8"/>
      <c r="FQ480" s="8"/>
      <c r="FR480" s="8"/>
      <c r="FS480" s="8"/>
      <c r="FT480" s="8"/>
      <c r="FU480" s="8"/>
    </row>
    <row r="481" spans="36:177" hidden="1" x14ac:dyDescent="0.2">
      <c r="AJ481" s="8"/>
      <c r="FN481" s="8"/>
      <c r="FO481" s="8"/>
      <c r="FP481" s="8"/>
      <c r="FQ481" s="8"/>
      <c r="FR481" s="8"/>
      <c r="FS481" s="8"/>
      <c r="FT481" s="8"/>
      <c r="FU481" s="8"/>
    </row>
    <row r="482" spans="36:177" hidden="1" x14ac:dyDescent="0.2">
      <c r="AJ482" s="8"/>
      <c r="FN482" s="8"/>
      <c r="FO482" s="8"/>
      <c r="FP482" s="8"/>
      <c r="FQ482" s="8"/>
      <c r="FR482" s="8"/>
      <c r="FS482" s="8"/>
      <c r="FT482" s="8"/>
      <c r="FU482" s="8"/>
    </row>
    <row r="483" spans="36:177" hidden="1" x14ac:dyDescent="0.2">
      <c r="AJ483" s="8"/>
      <c r="FN483" s="8"/>
      <c r="FO483" s="8"/>
      <c r="FP483" s="8"/>
      <c r="FQ483" s="8"/>
      <c r="FR483" s="8"/>
      <c r="FS483" s="8"/>
      <c r="FT483" s="8"/>
      <c r="FU483" s="8"/>
    </row>
    <row r="484" spans="36:177" hidden="1" x14ac:dyDescent="0.2">
      <c r="AJ484" s="8"/>
      <c r="FN484" s="8"/>
      <c r="FO484" s="8"/>
      <c r="FP484" s="8"/>
      <c r="FQ484" s="8"/>
      <c r="FR484" s="8"/>
      <c r="FS484" s="8"/>
      <c r="FT484" s="8"/>
      <c r="FU484" s="8"/>
    </row>
    <row r="485" spans="36:177" hidden="1" x14ac:dyDescent="0.2">
      <c r="AJ485" s="8"/>
      <c r="FN485" s="8"/>
      <c r="FO485" s="8"/>
      <c r="FP485" s="8"/>
      <c r="FQ485" s="8"/>
      <c r="FR485" s="8"/>
      <c r="FS485" s="8"/>
      <c r="FT485" s="8"/>
      <c r="FU485" s="8"/>
    </row>
    <row r="486" spans="36:177" hidden="1" x14ac:dyDescent="0.2">
      <c r="AJ486" s="8"/>
      <c r="FN486" s="8"/>
      <c r="FO486" s="8"/>
      <c r="FP486" s="8"/>
      <c r="FQ486" s="8"/>
      <c r="FR486" s="8"/>
      <c r="FS486" s="8"/>
      <c r="FT486" s="8"/>
      <c r="FU486" s="8"/>
    </row>
    <row r="487" spans="36:177" hidden="1" x14ac:dyDescent="0.2">
      <c r="AJ487" s="8"/>
      <c r="FN487" s="8"/>
      <c r="FO487" s="8"/>
      <c r="FP487" s="8"/>
      <c r="FQ487" s="8"/>
      <c r="FR487" s="8"/>
      <c r="FS487" s="8"/>
      <c r="FT487" s="8"/>
      <c r="FU487" s="8"/>
    </row>
    <row r="488" spans="36:177" hidden="1" x14ac:dyDescent="0.2">
      <c r="AJ488" s="8"/>
      <c r="FN488" s="8"/>
      <c r="FO488" s="8"/>
      <c r="FP488" s="8"/>
      <c r="FQ488" s="8"/>
      <c r="FR488" s="8"/>
      <c r="FS488" s="8"/>
      <c r="FT488" s="8"/>
      <c r="FU488" s="8"/>
    </row>
    <row r="489" spans="36:177" hidden="1" x14ac:dyDescent="0.2">
      <c r="AJ489" s="8"/>
      <c r="FN489" s="8"/>
      <c r="FO489" s="8"/>
      <c r="FP489" s="8"/>
      <c r="FQ489" s="8"/>
      <c r="FR489" s="8"/>
      <c r="FS489" s="8"/>
      <c r="FT489" s="8"/>
      <c r="FU489" s="8"/>
    </row>
    <row r="490" spans="36:177" hidden="1" x14ac:dyDescent="0.2">
      <c r="AJ490" s="8"/>
      <c r="FN490" s="8"/>
      <c r="FO490" s="8"/>
      <c r="FP490" s="8"/>
      <c r="FQ490" s="8"/>
      <c r="FR490" s="8"/>
      <c r="FS490" s="8"/>
      <c r="FT490" s="8"/>
      <c r="FU490" s="8"/>
    </row>
    <row r="491" spans="36:177" hidden="1" x14ac:dyDescent="0.2">
      <c r="AJ491" s="8"/>
      <c r="FN491" s="8"/>
      <c r="FO491" s="8"/>
      <c r="FP491" s="8"/>
      <c r="FQ491" s="8"/>
      <c r="FR491" s="8"/>
      <c r="FS491" s="8"/>
      <c r="FT491" s="8"/>
      <c r="FU491" s="8"/>
    </row>
    <row r="492" spans="36:177" hidden="1" x14ac:dyDescent="0.2">
      <c r="AJ492" s="8"/>
      <c r="FN492" s="8"/>
      <c r="FO492" s="8"/>
      <c r="FP492" s="8"/>
      <c r="FQ492" s="8"/>
      <c r="FR492" s="8"/>
      <c r="FS492" s="8"/>
      <c r="FT492" s="8"/>
      <c r="FU492" s="8"/>
    </row>
    <row r="493" spans="36:177" hidden="1" x14ac:dyDescent="0.2">
      <c r="AJ493" s="8"/>
      <c r="FN493" s="8"/>
      <c r="FO493" s="8"/>
      <c r="FP493" s="8"/>
      <c r="FQ493" s="8"/>
      <c r="FR493" s="8"/>
      <c r="FS493" s="8"/>
      <c r="FT493" s="8"/>
      <c r="FU493" s="8"/>
    </row>
    <row r="494" spans="36:177" hidden="1" x14ac:dyDescent="0.2">
      <c r="AJ494" s="8"/>
      <c r="FN494" s="8"/>
      <c r="FO494" s="8"/>
      <c r="FP494" s="8"/>
      <c r="FQ494" s="8"/>
      <c r="FR494" s="8"/>
      <c r="FS494" s="8"/>
      <c r="FT494" s="8"/>
      <c r="FU494" s="8"/>
    </row>
    <row r="495" spans="36:177" hidden="1" x14ac:dyDescent="0.2">
      <c r="AJ495" s="8"/>
      <c r="FN495" s="8"/>
      <c r="FO495" s="8"/>
      <c r="FP495" s="8"/>
      <c r="FQ495" s="8"/>
      <c r="FR495" s="8"/>
      <c r="FS495" s="8"/>
      <c r="FT495" s="8"/>
      <c r="FU495" s="8"/>
    </row>
    <row r="496" spans="36:177" hidden="1" x14ac:dyDescent="0.2">
      <c r="AJ496" s="8"/>
      <c r="FN496" s="8"/>
      <c r="FO496" s="8"/>
      <c r="FP496" s="8"/>
      <c r="FQ496" s="8"/>
      <c r="FR496" s="8"/>
      <c r="FS496" s="8"/>
      <c r="FT496" s="8"/>
      <c r="FU496" s="8"/>
    </row>
    <row r="497" spans="36:177" hidden="1" x14ac:dyDescent="0.2">
      <c r="AJ497" s="8"/>
      <c r="FN497" s="8"/>
      <c r="FO497" s="8"/>
      <c r="FP497" s="8"/>
      <c r="FQ497" s="8"/>
      <c r="FR497" s="8"/>
      <c r="FS497" s="8"/>
      <c r="FT497" s="8"/>
      <c r="FU497" s="8"/>
    </row>
    <row r="498" spans="36:177" hidden="1" x14ac:dyDescent="0.2">
      <c r="AJ498" s="8"/>
      <c r="FN498" s="8"/>
      <c r="FO498" s="8"/>
      <c r="FP498" s="8"/>
      <c r="FQ498" s="8"/>
      <c r="FR498" s="8"/>
      <c r="FS498" s="8"/>
      <c r="FT498" s="8"/>
      <c r="FU498" s="8"/>
    </row>
    <row r="499" spans="36:177" hidden="1" x14ac:dyDescent="0.2">
      <c r="AJ499" s="8"/>
      <c r="FN499" s="8"/>
      <c r="FO499" s="8"/>
      <c r="FP499" s="8"/>
      <c r="FQ499" s="8"/>
      <c r="FR499" s="8"/>
      <c r="FS499" s="8"/>
      <c r="FT499" s="8"/>
      <c r="FU499" s="8"/>
    </row>
    <row r="500" spans="36:177" hidden="1" x14ac:dyDescent="0.2">
      <c r="AJ500" s="8"/>
      <c r="FN500" s="8"/>
      <c r="FO500" s="8"/>
      <c r="FP500" s="8"/>
      <c r="FQ500" s="8"/>
      <c r="FR500" s="8"/>
      <c r="FS500" s="8"/>
      <c r="FT500" s="8"/>
      <c r="FU500" s="8"/>
    </row>
    <row r="501" spans="36:177" hidden="1" x14ac:dyDescent="0.2">
      <c r="AJ501" s="8"/>
      <c r="FN501" s="8"/>
      <c r="FO501" s="8"/>
      <c r="FP501" s="8"/>
      <c r="FQ501" s="8"/>
      <c r="FR501" s="8"/>
      <c r="FS501" s="8"/>
      <c r="FT501" s="8"/>
      <c r="FU501" s="8"/>
    </row>
    <row r="502" spans="36:177" hidden="1" x14ac:dyDescent="0.2">
      <c r="AJ502" s="8"/>
      <c r="FN502" s="8"/>
      <c r="FO502" s="8"/>
      <c r="FP502" s="8"/>
      <c r="FQ502" s="8"/>
      <c r="FR502" s="8"/>
      <c r="FS502" s="8"/>
      <c r="FT502" s="8"/>
      <c r="FU502" s="8"/>
    </row>
    <row r="503" spans="36:177" hidden="1" x14ac:dyDescent="0.2">
      <c r="AJ503" s="8"/>
      <c r="FN503" s="8"/>
      <c r="FO503" s="8"/>
      <c r="FP503" s="8"/>
      <c r="FQ503" s="8"/>
      <c r="FR503" s="8"/>
      <c r="FS503" s="8"/>
      <c r="FT503" s="8"/>
      <c r="FU503" s="8"/>
    </row>
    <row r="504" spans="36:177" hidden="1" x14ac:dyDescent="0.2">
      <c r="AJ504" s="8"/>
      <c r="FN504" s="8"/>
      <c r="FO504" s="8"/>
      <c r="FP504" s="8"/>
      <c r="FQ504" s="8"/>
      <c r="FR504" s="8"/>
      <c r="FS504" s="8"/>
      <c r="FT504" s="8"/>
      <c r="FU504" s="8"/>
    </row>
    <row r="505" spans="36:177" hidden="1" x14ac:dyDescent="0.2">
      <c r="AJ505" s="8"/>
      <c r="FN505" s="8"/>
      <c r="FO505" s="8"/>
      <c r="FP505" s="8"/>
      <c r="FQ505" s="8"/>
      <c r="FR505" s="8"/>
      <c r="FS505" s="8"/>
      <c r="FT505" s="8"/>
      <c r="FU505" s="8"/>
    </row>
    <row r="506" spans="36:177" hidden="1" x14ac:dyDescent="0.2">
      <c r="AJ506" s="8"/>
      <c r="FN506" s="8"/>
      <c r="FO506" s="8"/>
      <c r="FP506" s="8"/>
      <c r="FQ506" s="8"/>
      <c r="FR506" s="8"/>
      <c r="FS506" s="8"/>
      <c r="FT506" s="8"/>
      <c r="FU506" s="8"/>
    </row>
    <row r="507" spans="36:177" hidden="1" x14ac:dyDescent="0.2">
      <c r="AJ507" s="8"/>
      <c r="FN507" s="8"/>
      <c r="FO507" s="8"/>
      <c r="FP507" s="8"/>
      <c r="FQ507" s="8"/>
      <c r="FR507" s="8"/>
      <c r="FS507" s="8"/>
      <c r="FT507" s="8"/>
      <c r="FU507" s="8"/>
    </row>
    <row r="508" spans="36:177" hidden="1" x14ac:dyDescent="0.2">
      <c r="AJ508" s="8"/>
      <c r="FN508" s="8"/>
      <c r="FO508" s="8"/>
      <c r="FP508" s="8"/>
      <c r="FQ508" s="8"/>
      <c r="FR508" s="8"/>
      <c r="FS508" s="8"/>
      <c r="FT508" s="8"/>
      <c r="FU508" s="8"/>
    </row>
    <row r="509" spans="36:177" hidden="1" x14ac:dyDescent="0.2">
      <c r="AJ509" s="8"/>
      <c r="FN509" s="8"/>
      <c r="FO509" s="8"/>
      <c r="FP509" s="8"/>
      <c r="FQ509" s="8"/>
      <c r="FR509" s="8"/>
      <c r="FS509" s="8"/>
      <c r="FT509" s="8"/>
      <c r="FU509" s="8"/>
    </row>
    <row r="510" spans="36:177" hidden="1" x14ac:dyDescent="0.2">
      <c r="AJ510" s="8"/>
      <c r="FN510" s="8"/>
      <c r="FO510" s="8"/>
      <c r="FP510" s="8"/>
      <c r="FQ510" s="8"/>
      <c r="FR510" s="8"/>
      <c r="FS510" s="8"/>
      <c r="FT510" s="8"/>
      <c r="FU510" s="8"/>
    </row>
    <row r="511" spans="36:177" hidden="1" x14ac:dyDescent="0.2">
      <c r="AJ511" s="8"/>
      <c r="FN511" s="8"/>
      <c r="FO511" s="8"/>
      <c r="FP511" s="8"/>
      <c r="FQ511" s="8"/>
      <c r="FR511" s="8"/>
      <c r="FS511" s="8"/>
      <c r="FT511" s="8"/>
      <c r="FU511" s="8"/>
    </row>
    <row r="512" spans="36:177" hidden="1" x14ac:dyDescent="0.2">
      <c r="AJ512" s="8"/>
      <c r="FN512" s="8"/>
      <c r="FO512" s="8"/>
      <c r="FP512" s="8"/>
      <c r="FQ512" s="8"/>
      <c r="FR512" s="8"/>
      <c r="FS512" s="8"/>
      <c r="FT512" s="8"/>
      <c r="FU512" s="8"/>
    </row>
    <row r="513" spans="36:177" hidden="1" x14ac:dyDescent="0.2">
      <c r="AJ513" s="8"/>
      <c r="FN513" s="8"/>
      <c r="FO513" s="8"/>
      <c r="FP513" s="8"/>
      <c r="FQ513" s="8"/>
      <c r="FR513" s="8"/>
      <c r="FS513" s="8"/>
      <c r="FT513" s="8"/>
      <c r="FU513" s="8"/>
    </row>
    <row r="514" spans="36:177" hidden="1" x14ac:dyDescent="0.2">
      <c r="AJ514" s="8"/>
      <c r="FN514" s="8"/>
      <c r="FO514" s="8"/>
      <c r="FP514" s="8"/>
      <c r="FQ514" s="8"/>
      <c r="FR514" s="8"/>
      <c r="FS514" s="8"/>
      <c r="FT514" s="8"/>
      <c r="FU514" s="8"/>
    </row>
    <row r="515" spans="36:177" hidden="1" x14ac:dyDescent="0.2">
      <c r="AJ515" s="8"/>
      <c r="FN515" s="8"/>
      <c r="FO515" s="8"/>
      <c r="FP515" s="8"/>
      <c r="FQ515" s="8"/>
      <c r="FR515" s="8"/>
      <c r="FS515" s="8"/>
      <c r="FT515" s="8"/>
      <c r="FU515" s="8"/>
    </row>
    <row r="516" spans="36:177" hidden="1" x14ac:dyDescent="0.2">
      <c r="AJ516" s="8"/>
      <c r="FN516" s="8"/>
      <c r="FO516" s="8"/>
      <c r="FP516" s="8"/>
      <c r="FQ516" s="8"/>
      <c r="FR516" s="8"/>
      <c r="FS516" s="8"/>
      <c r="FT516" s="8"/>
      <c r="FU516" s="8"/>
    </row>
    <row r="517" spans="36:177" hidden="1" x14ac:dyDescent="0.2">
      <c r="AJ517" s="8"/>
      <c r="FN517" s="8"/>
      <c r="FO517" s="8"/>
      <c r="FP517" s="8"/>
      <c r="FQ517" s="8"/>
      <c r="FR517" s="8"/>
      <c r="FS517" s="8"/>
      <c r="FT517" s="8"/>
      <c r="FU517" s="8"/>
    </row>
    <row r="518" spans="36:177" hidden="1" x14ac:dyDescent="0.2">
      <c r="AJ518" s="8"/>
      <c r="FN518" s="8"/>
      <c r="FO518" s="8"/>
      <c r="FP518" s="8"/>
      <c r="FQ518" s="8"/>
      <c r="FR518" s="8"/>
      <c r="FS518" s="8"/>
      <c r="FT518" s="8"/>
      <c r="FU518" s="8"/>
    </row>
    <row r="519" spans="36:177" hidden="1" x14ac:dyDescent="0.2">
      <c r="AJ519" s="8"/>
      <c r="FN519" s="8"/>
      <c r="FO519" s="8"/>
      <c r="FP519" s="8"/>
      <c r="FQ519" s="8"/>
      <c r="FR519" s="8"/>
      <c r="FS519" s="8"/>
      <c r="FT519" s="8"/>
      <c r="FU519" s="8"/>
    </row>
    <row r="520" spans="36:177" hidden="1" x14ac:dyDescent="0.2">
      <c r="AJ520" s="8"/>
      <c r="FN520" s="8"/>
      <c r="FO520" s="8"/>
      <c r="FP520" s="8"/>
      <c r="FQ520" s="8"/>
      <c r="FR520" s="8"/>
      <c r="FS520" s="8"/>
      <c r="FT520" s="8"/>
      <c r="FU520" s="8"/>
    </row>
    <row r="521" spans="36:177" hidden="1" x14ac:dyDescent="0.2">
      <c r="AJ521" s="8"/>
      <c r="FN521" s="8"/>
      <c r="FO521" s="8"/>
      <c r="FP521" s="8"/>
      <c r="FQ521" s="8"/>
      <c r="FR521" s="8"/>
      <c r="FS521" s="8"/>
      <c r="FT521" s="8"/>
      <c r="FU521" s="8"/>
    </row>
    <row r="522" spans="36:177" hidden="1" x14ac:dyDescent="0.2">
      <c r="AJ522" s="8"/>
      <c r="FN522" s="8"/>
      <c r="FO522" s="8"/>
      <c r="FP522" s="8"/>
      <c r="FQ522" s="8"/>
      <c r="FR522" s="8"/>
      <c r="FS522" s="8"/>
      <c r="FT522" s="8"/>
      <c r="FU522" s="8"/>
    </row>
    <row r="523" spans="36:177" hidden="1" x14ac:dyDescent="0.2">
      <c r="AJ523" s="8"/>
      <c r="FN523" s="8"/>
      <c r="FO523" s="8"/>
      <c r="FP523" s="8"/>
      <c r="FQ523" s="8"/>
      <c r="FR523" s="8"/>
      <c r="FS523" s="8"/>
      <c r="FT523" s="8"/>
      <c r="FU523" s="8"/>
    </row>
    <row r="524" spans="36:177" hidden="1" x14ac:dyDescent="0.2">
      <c r="AJ524" s="8"/>
      <c r="FN524" s="8"/>
      <c r="FO524" s="8"/>
      <c r="FP524" s="8"/>
      <c r="FQ524" s="8"/>
      <c r="FR524" s="8"/>
      <c r="FS524" s="8"/>
      <c r="FT524" s="8"/>
      <c r="FU524" s="8"/>
    </row>
    <row r="525" spans="36:177" hidden="1" x14ac:dyDescent="0.2">
      <c r="AJ525" s="8"/>
      <c r="FN525" s="8"/>
      <c r="FO525" s="8"/>
      <c r="FP525" s="8"/>
      <c r="FQ525" s="8"/>
      <c r="FR525" s="8"/>
      <c r="FS525" s="8"/>
      <c r="FT525" s="8"/>
      <c r="FU525" s="8"/>
    </row>
    <row r="526" spans="36:177" hidden="1" x14ac:dyDescent="0.2">
      <c r="AJ526" s="8"/>
      <c r="FN526" s="8"/>
      <c r="FO526" s="8"/>
      <c r="FP526" s="8"/>
      <c r="FQ526" s="8"/>
      <c r="FR526" s="8"/>
      <c r="FS526" s="8"/>
      <c r="FT526" s="8"/>
      <c r="FU526" s="8"/>
    </row>
    <row r="527" spans="36:177" hidden="1" x14ac:dyDescent="0.2">
      <c r="AJ527" s="8"/>
      <c r="FN527" s="8"/>
      <c r="FO527" s="8"/>
      <c r="FP527" s="8"/>
      <c r="FQ527" s="8"/>
      <c r="FR527" s="8"/>
      <c r="FS527" s="8"/>
      <c r="FT527" s="8"/>
      <c r="FU527" s="8"/>
    </row>
    <row r="528" spans="36:177" hidden="1" x14ac:dyDescent="0.2">
      <c r="AJ528" s="8"/>
      <c r="FN528" s="8"/>
      <c r="FO528" s="8"/>
      <c r="FP528" s="8"/>
      <c r="FQ528" s="8"/>
      <c r="FR528" s="8"/>
      <c r="FS528" s="8"/>
      <c r="FT528" s="8"/>
      <c r="FU528" s="8"/>
    </row>
    <row r="529" spans="36:177" hidden="1" x14ac:dyDescent="0.2">
      <c r="AJ529" s="8"/>
      <c r="FN529" s="8"/>
      <c r="FO529" s="8"/>
      <c r="FP529" s="8"/>
      <c r="FQ529" s="8"/>
      <c r="FR529" s="8"/>
      <c r="FS529" s="8"/>
      <c r="FT529" s="8"/>
      <c r="FU529" s="8"/>
    </row>
    <row r="530" spans="36:177" hidden="1" x14ac:dyDescent="0.2">
      <c r="AJ530" s="8"/>
      <c r="FN530" s="8"/>
      <c r="FO530" s="8"/>
      <c r="FP530" s="8"/>
      <c r="FQ530" s="8"/>
      <c r="FR530" s="8"/>
      <c r="FS530" s="8"/>
      <c r="FT530" s="8"/>
      <c r="FU530" s="8"/>
    </row>
    <row r="531" spans="36:177" hidden="1" x14ac:dyDescent="0.2">
      <c r="AJ531" s="8"/>
      <c r="FN531" s="8"/>
      <c r="FO531" s="8"/>
      <c r="FP531" s="8"/>
      <c r="FQ531" s="8"/>
      <c r="FR531" s="8"/>
      <c r="FS531" s="8"/>
      <c r="FT531" s="8"/>
      <c r="FU531" s="8"/>
    </row>
    <row r="532" spans="36:177" hidden="1" x14ac:dyDescent="0.2">
      <c r="AJ532" s="8"/>
      <c r="FN532" s="8"/>
      <c r="FO532" s="8"/>
      <c r="FP532" s="8"/>
      <c r="FQ532" s="8"/>
      <c r="FR532" s="8"/>
      <c r="FS532" s="8"/>
      <c r="FT532" s="8"/>
      <c r="FU532" s="8"/>
    </row>
    <row r="533" spans="36:177" hidden="1" x14ac:dyDescent="0.2">
      <c r="AJ533" s="8"/>
      <c r="FN533" s="8"/>
      <c r="FO533" s="8"/>
      <c r="FP533" s="8"/>
      <c r="FQ533" s="8"/>
      <c r="FR533" s="8"/>
      <c r="FS533" s="8"/>
      <c r="FT533" s="8"/>
      <c r="FU533" s="8"/>
    </row>
    <row r="534" spans="36:177" hidden="1" x14ac:dyDescent="0.2">
      <c r="AJ534" s="8"/>
      <c r="FN534" s="8"/>
      <c r="FO534" s="8"/>
      <c r="FP534" s="8"/>
      <c r="FQ534" s="8"/>
      <c r="FR534" s="8"/>
      <c r="FS534" s="8"/>
      <c r="FT534" s="8"/>
      <c r="FU534" s="8"/>
    </row>
    <row r="535" spans="36:177" hidden="1" x14ac:dyDescent="0.2">
      <c r="AJ535" s="8"/>
      <c r="FN535" s="8"/>
      <c r="FO535" s="8"/>
      <c r="FP535" s="8"/>
      <c r="FQ535" s="8"/>
      <c r="FR535" s="8"/>
      <c r="FS535" s="8"/>
      <c r="FT535" s="8"/>
      <c r="FU535" s="8"/>
    </row>
    <row r="536" spans="36:177" hidden="1" x14ac:dyDescent="0.2">
      <c r="AJ536" s="8"/>
      <c r="FN536" s="8"/>
      <c r="FO536" s="8"/>
      <c r="FP536" s="8"/>
      <c r="FQ536" s="8"/>
      <c r="FR536" s="8"/>
      <c r="FS536" s="8"/>
      <c r="FT536" s="8"/>
      <c r="FU536" s="8"/>
    </row>
    <row r="537" spans="36:177" hidden="1" x14ac:dyDescent="0.2">
      <c r="AJ537" s="8"/>
      <c r="FN537" s="8"/>
      <c r="FO537" s="8"/>
      <c r="FP537" s="8"/>
      <c r="FQ537" s="8"/>
      <c r="FR537" s="8"/>
      <c r="FS537" s="8"/>
      <c r="FT537" s="8"/>
      <c r="FU537" s="8"/>
    </row>
    <row r="538" spans="36:177" hidden="1" x14ac:dyDescent="0.2">
      <c r="AJ538" s="8"/>
      <c r="FN538" s="8"/>
      <c r="FO538" s="8"/>
      <c r="FP538" s="8"/>
      <c r="FQ538" s="8"/>
      <c r="FR538" s="8"/>
      <c r="FS538" s="8"/>
      <c r="FT538" s="8"/>
      <c r="FU538" s="8"/>
    </row>
    <row r="539" spans="36:177" hidden="1" x14ac:dyDescent="0.2">
      <c r="AJ539" s="8"/>
      <c r="FN539" s="8"/>
      <c r="FO539" s="8"/>
      <c r="FP539" s="8"/>
      <c r="FQ539" s="8"/>
      <c r="FR539" s="8"/>
      <c r="FS539" s="8"/>
      <c r="FT539" s="8"/>
      <c r="FU539" s="8"/>
    </row>
    <row r="540" spans="36:177" hidden="1" x14ac:dyDescent="0.2">
      <c r="AJ540" s="8"/>
      <c r="FN540" s="8"/>
      <c r="FO540" s="8"/>
      <c r="FP540" s="8"/>
      <c r="FQ540" s="8"/>
      <c r="FR540" s="8"/>
      <c r="FS540" s="8"/>
      <c r="FT540" s="8"/>
      <c r="FU540" s="8"/>
    </row>
    <row r="541" spans="36:177" hidden="1" x14ac:dyDescent="0.2">
      <c r="AJ541" s="8"/>
      <c r="FN541" s="8"/>
      <c r="FO541" s="8"/>
      <c r="FP541" s="8"/>
      <c r="FQ541" s="8"/>
      <c r="FR541" s="8"/>
      <c r="FS541" s="8"/>
      <c r="FT541" s="8"/>
      <c r="FU541" s="8"/>
    </row>
    <row r="542" spans="36:177" hidden="1" x14ac:dyDescent="0.2">
      <c r="AJ542" s="8"/>
      <c r="FN542" s="8"/>
      <c r="FO542" s="8"/>
      <c r="FP542" s="8"/>
      <c r="FQ542" s="8"/>
      <c r="FR542" s="8"/>
      <c r="FS542" s="8"/>
      <c r="FT542" s="8"/>
      <c r="FU542" s="8"/>
    </row>
    <row r="543" spans="36:177" hidden="1" x14ac:dyDescent="0.2">
      <c r="AJ543" s="8"/>
      <c r="FN543" s="8"/>
      <c r="FO543" s="8"/>
      <c r="FP543" s="8"/>
      <c r="FQ543" s="8"/>
      <c r="FR543" s="8"/>
      <c r="FS543" s="8"/>
      <c r="FT543" s="8"/>
      <c r="FU543" s="8"/>
    </row>
    <row r="544" spans="36:177" hidden="1" x14ac:dyDescent="0.2">
      <c r="AJ544" s="8"/>
      <c r="FN544" s="8"/>
      <c r="FO544" s="8"/>
      <c r="FP544" s="8"/>
      <c r="FQ544" s="8"/>
      <c r="FR544" s="8"/>
      <c r="FS544" s="8"/>
      <c r="FT544" s="8"/>
      <c r="FU544" s="8"/>
    </row>
    <row r="545" spans="36:177" hidden="1" x14ac:dyDescent="0.2">
      <c r="AJ545" s="8"/>
      <c r="FN545" s="8"/>
      <c r="FO545" s="8"/>
      <c r="FP545" s="8"/>
      <c r="FQ545" s="8"/>
      <c r="FR545" s="8"/>
      <c r="FS545" s="8"/>
      <c r="FT545" s="8"/>
      <c r="FU545" s="8"/>
    </row>
    <row r="546" spans="36:177" hidden="1" x14ac:dyDescent="0.2">
      <c r="AJ546" s="8"/>
      <c r="FN546" s="8"/>
      <c r="FO546" s="8"/>
      <c r="FP546" s="8"/>
      <c r="FQ546" s="8"/>
      <c r="FR546" s="8"/>
      <c r="FS546" s="8"/>
      <c r="FT546" s="8"/>
      <c r="FU546" s="8"/>
    </row>
    <row r="547" spans="36:177" hidden="1" x14ac:dyDescent="0.2">
      <c r="AJ547" s="8"/>
      <c r="FN547" s="8"/>
      <c r="FO547" s="8"/>
      <c r="FP547" s="8"/>
      <c r="FQ547" s="8"/>
      <c r="FR547" s="8"/>
      <c r="FS547" s="8"/>
      <c r="FT547" s="8"/>
      <c r="FU547" s="8"/>
    </row>
    <row r="548" spans="36:177" hidden="1" x14ac:dyDescent="0.2">
      <c r="AJ548" s="8"/>
      <c r="FN548" s="8"/>
      <c r="FO548" s="8"/>
      <c r="FP548" s="8"/>
      <c r="FQ548" s="8"/>
      <c r="FR548" s="8"/>
      <c r="FS548" s="8"/>
      <c r="FT548" s="8"/>
      <c r="FU548" s="8"/>
    </row>
    <row r="549" spans="36:177" hidden="1" x14ac:dyDescent="0.2">
      <c r="AJ549" s="8"/>
      <c r="FN549" s="8"/>
      <c r="FO549" s="8"/>
      <c r="FP549" s="8"/>
      <c r="FQ549" s="8"/>
      <c r="FR549" s="8"/>
      <c r="FS549" s="8"/>
      <c r="FT549" s="8"/>
      <c r="FU549" s="8"/>
    </row>
    <row r="550" spans="36:177" hidden="1" x14ac:dyDescent="0.2">
      <c r="AJ550" s="8"/>
      <c r="FN550" s="8"/>
      <c r="FO550" s="8"/>
      <c r="FP550" s="8"/>
      <c r="FQ550" s="8"/>
      <c r="FR550" s="8"/>
      <c r="FS550" s="8"/>
      <c r="FT550" s="8"/>
      <c r="FU550" s="8"/>
    </row>
    <row r="551" spans="36:177" hidden="1" x14ac:dyDescent="0.2">
      <c r="AJ551" s="8"/>
      <c r="FN551" s="8"/>
      <c r="FO551" s="8"/>
      <c r="FP551" s="8"/>
      <c r="FQ551" s="8"/>
      <c r="FR551" s="8"/>
      <c r="FS551" s="8"/>
      <c r="FT551" s="8"/>
      <c r="FU551" s="8"/>
    </row>
    <row r="552" spans="36:177" hidden="1" x14ac:dyDescent="0.2">
      <c r="AJ552" s="8"/>
      <c r="FN552" s="8"/>
      <c r="FO552" s="8"/>
      <c r="FP552" s="8"/>
      <c r="FQ552" s="8"/>
      <c r="FR552" s="8"/>
      <c r="FS552" s="8"/>
      <c r="FT552" s="8"/>
      <c r="FU552" s="8"/>
    </row>
    <row r="553" spans="36:177" hidden="1" x14ac:dyDescent="0.2">
      <c r="AJ553" s="8"/>
      <c r="FN553" s="8"/>
      <c r="FO553" s="8"/>
      <c r="FP553" s="8"/>
      <c r="FQ553" s="8"/>
      <c r="FR553" s="8"/>
      <c r="FS553" s="8"/>
      <c r="FT553" s="8"/>
      <c r="FU553" s="8"/>
    </row>
    <row r="554" spans="36:177" hidden="1" x14ac:dyDescent="0.2">
      <c r="AJ554" s="8"/>
      <c r="FN554" s="8"/>
      <c r="FO554" s="8"/>
      <c r="FP554" s="8"/>
      <c r="FQ554" s="8"/>
      <c r="FR554" s="8"/>
      <c r="FS554" s="8"/>
      <c r="FT554" s="8"/>
      <c r="FU554" s="8"/>
    </row>
    <row r="555" spans="36:177" hidden="1" x14ac:dyDescent="0.2">
      <c r="AJ555" s="8"/>
      <c r="FN555" s="8"/>
      <c r="FO555" s="8"/>
      <c r="FP555" s="8"/>
      <c r="FQ555" s="8"/>
      <c r="FR555" s="8"/>
      <c r="FS555" s="8"/>
      <c r="FT555" s="8"/>
      <c r="FU555" s="8"/>
    </row>
    <row r="556" spans="36:177" hidden="1" x14ac:dyDescent="0.2">
      <c r="AJ556" s="8"/>
      <c r="FN556" s="8"/>
      <c r="FO556" s="8"/>
      <c r="FP556" s="8"/>
      <c r="FQ556" s="8"/>
      <c r="FR556" s="8"/>
      <c r="FS556" s="8"/>
      <c r="FT556" s="8"/>
      <c r="FU556" s="8"/>
    </row>
    <row r="557" spans="36:177" hidden="1" x14ac:dyDescent="0.2">
      <c r="AJ557" s="8"/>
      <c r="FN557" s="8"/>
      <c r="FO557" s="8"/>
      <c r="FP557" s="8"/>
      <c r="FQ557" s="8"/>
      <c r="FR557" s="8"/>
      <c r="FS557" s="8"/>
      <c r="FT557" s="8"/>
      <c r="FU557" s="8"/>
    </row>
    <row r="558" spans="36:177" hidden="1" x14ac:dyDescent="0.2">
      <c r="AJ558" s="8"/>
      <c r="FN558" s="8"/>
      <c r="FO558" s="8"/>
      <c r="FP558" s="8"/>
      <c r="FQ558" s="8"/>
      <c r="FR558" s="8"/>
      <c r="FS558" s="8"/>
      <c r="FT558" s="8"/>
      <c r="FU558" s="8"/>
    </row>
    <row r="559" spans="36:177" hidden="1" x14ac:dyDescent="0.2">
      <c r="AJ559" s="8"/>
      <c r="FN559" s="8"/>
      <c r="FO559" s="8"/>
      <c r="FP559" s="8"/>
      <c r="FQ559" s="8"/>
      <c r="FR559" s="8"/>
      <c r="FS559" s="8"/>
      <c r="FT559" s="8"/>
      <c r="FU559" s="8"/>
    </row>
    <row r="560" spans="36:177" hidden="1" x14ac:dyDescent="0.2">
      <c r="AJ560" s="8"/>
      <c r="FN560" s="8"/>
      <c r="FO560" s="8"/>
      <c r="FP560" s="8"/>
      <c r="FQ560" s="8"/>
      <c r="FR560" s="8"/>
      <c r="FS560" s="8"/>
      <c r="FT560" s="8"/>
      <c r="FU560" s="8"/>
    </row>
    <row r="561" spans="36:177" hidden="1" x14ac:dyDescent="0.2">
      <c r="AJ561" s="8"/>
      <c r="FN561" s="8"/>
      <c r="FO561" s="8"/>
      <c r="FP561" s="8"/>
      <c r="FQ561" s="8"/>
      <c r="FR561" s="8"/>
      <c r="FS561" s="8"/>
      <c r="FT561" s="8"/>
      <c r="FU561" s="8"/>
    </row>
    <row r="562" spans="36:177" hidden="1" x14ac:dyDescent="0.2">
      <c r="AJ562" s="8"/>
      <c r="FN562" s="8"/>
      <c r="FO562" s="8"/>
      <c r="FP562" s="8"/>
      <c r="FQ562" s="8"/>
      <c r="FR562" s="8"/>
      <c r="FS562" s="8"/>
      <c r="FT562" s="8"/>
      <c r="FU562" s="8"/>
    </row>
    <row r="563" spans="36:177" hidden="1" x14ac:dyDescent="0.2">
      <c r="AJ563" s="8"/>
      <c r="FN563" s="8"/>
      <c r="FO563" s="8"/>
      <c r="FP563" s="8"/>
      <c r="FQ563" s="8"/>
      <c r="FR563" s="8"/>
      <c r="FS563" s="8"/>
      <c r="FT563" s="8"/>
      <c r="FU563" s="8"/>
    </row>
    <row r="564" spans="36:177" hidden="1" x14ac:dyDescent="0.2">
      <c r="AJ564" s="8"/>
      <c r="FN564" s="8"/>
      <c r="FO564" s="8"/>
      <c r="FP564" s="8"/>
      <c r="FQ564" s="8"/>
      <c r="FR564" s="8"/>
      <c r="FS564" s="8"/>
      <c r="FT564" s="8"/>
      <c r="FU564" s="8"/>
    </row>
    <row r="565" spans="36:177" hidden="1" x14ac:dyDescent="0.2">
      <c r="AJ565" s="8"/>
      <c r="FN565" s="8"/>
      <c r="FO565" s="8"/>
      <c r="FP565" s="8"/>
      <c r="FQ565" s="8"/>
      <c r="FR565" s="8"/>
      <c r="FS565" s="8"/>
      <c r="FT565" s="8"/>
      <c r="FU565" s="8"/>
    </row>
    <row r="566" spans="36:177" hidden="1" x14ac:dyDescent="0.2">
      <c r="AJ566" s="8"/>
      <c r="FN566" s="8"/>
      <c r="FO566" s="8"/>
      <c r="FP566" s="8"/>
      <c r="FQ566" s="8"/>
      <c r="FR566" s="8"/>
      <c r="FS566" s="8"/>
      <c r="FT566" s="8"/>
      <c r="FU566" s="8"/>
    </row>
    <row r="567" spans="36:177" hidden="1" x14ac:dyDescent="0.2">
      <c r="AJ567" s="8"/>
      <c r="FN567" s="8"/>
      <c r="FO567" s="8"/>
      <c r="FP567" s="8"/>
      <c r="FQ567" s="8"/>
      <c r="FR567" s="8"/>
      <c r="FS567" s="8"/>
      <c r="FT567" s="8"/>
      <c r="FU567" s="8"/>
    </row>
    <row r="568" spans="36:177" hidden="1" x14ac:dyDescent="0.2">
      <c r="AJ568" s="8"/>
      <c r="FN568" s="8"/>
      <c r="FO568" s="8"/>
      <c r="FP568" s="8"/>
      <c r="FQ568" s="8"/>
      <c r="FR568" s="8"/>
      <c r="FS568" s="8"/>
      <c r="FT568" s="8"/>
      <c r="FU568" s="8"/>
    </row>
    <row r="569" spans="36:177" hidden="1" x14ac:dyDescent="0.2">
      <c r="AJ569" s="8"/>
      <c r="FN569" s="8"/>
      <c r="FO569" s="8"/>
      <c r="FP569" s="8"/>
      <c r="FQ569" s="8"/>
      <c r="FR569" s="8"/>
      <c r="FS569" s="8"/>
      <c r="FT569" s="8"/>
      <c r="FU569" s="8"/>
    </row>
    <row r="570" spans="36:177" hidden="1" x14ac:dyDescent="0.2">
      <c r="AJ570" s="8"/>
      <c r="FN570" s="8"/>
      <c r="FO570" s="8"/>
      <c r="FP570" s="8"/>
      <c r="FQ570" s="8"/>
      <c r="FR570" s="8"/>
      <c r="FS570" s="8"/>
      <c r="FT570" s="8"/>
      <c r="FU570" s="8"/>
    </row>
    <row r="571" spans="36:177" hidden="1" x14ac:dyDescent="0.2">
      <c r="AJ571" s="8"/>
      <c r="FN571" s="8"/>
      <c r="FO571" s="8"/>
      <c r="FP571" s="8"/>
      <c r="FQ571" s="8"/>
      <c r="FR571" s="8"/>
      <c r="FS571" s="8"/>
      <c r="FT571" s="8"/>
      <c r="FU571" s="8"/>
    </row>
    <row r="572" spans="36:177" hidden="1" x14ac:dyDescent="0.2">
      <c r="AJ572" s="8"/>
      <c r="FN572" s="8"/>
      <c r="FO572" s="8"/>
      <c r="FP572" s="8"/>
      <c r="FQ572" s="8"/>
      <c r="FR572" s="8"/>
      <c r="FS572" s="8"/>
      <c r="FT572" s="8"/>
      <c r="FU572" s="8"/>
    </row>
    <row r="573" spans="36:177" hidden="1" x14ac:dyDescent="0.2">
      <c r="AJ573" s="8"/>
      <c r="FN573" s="8"/>
      <c r="FO573" s="8"/>
      <c r="FP573" s="8"/>
      <c r="FQ573" s="8"/>
      <c r="FR573" s="8"/>
      <c r="FS573" s="8"/>
      <c r="FT573" s="8"/>
      <c r="FU573" s="8"/>
    </row>
    <row r="574" spans="36:177" hidden="1" x14ac:dyDescent="0.2">
      <c r="AJ574" s="8"/>
      <c r="FN574" s="8"/>
      <c r="FO574" s="8"/>
      <c r="FP574" s="8"/>
      <c r="FQ574" s="8"/>
      <c r="FR574" s="8"/>
      <c r="FS574" s="8"/>
      <c r="FT574" s="8"/>
      <c r="FU574" s="8"/>
    </row>
    <row r="575" spans="36:177" hidden="1" x14ac:dyDescent="0.2">
      <c r="AJ575" s="8"/>
      <c r="FN575" s="8"/>
      <c r="FO575" s="8"/>
      <c r="FP575" s="8"/>
      <c r="FQ575" s="8"/>
      <c r="FR575" s="8"/>
      <c r="FS575" s="8"/>
      <c r="FT575" s="8"/>
      <c r="FU575" s="8"/>
    </row>
    <row r="576" spans="36:177" hidden="1" x14ac:dyDescent="0.2">
      <c r="FN576" s="8"/>
      <c r="FO576" s="8"/>
      <c r="FP576" s="8"/>
      <c r="FQ576" s="8"/>
      <c r="FR576" s="8"/>
      <c r="FS576" s="8"/>
      <c r="FT576" s="8"/>
      <c r="FU576" s="8"/>
    </row>
    <row r="577" spans="36:177" hidden="1" x14ac:dyDescent="0.2">
      <c r="FN577" s="8"/>
      <c r="FO577" s="8"/>
      <c r="FP577" s="8"/>
      <c r="FQ577" s="8"/>
      <c r="FR577" s="8"/>
      <c r="FS577" s="8"/>
      <c r="FT577" s="8"/>
      <c r="FU577" s="8"/>
    </row>
    <row r="578" spans="36:177" hidden="1" x14ac:dyDescent="0.2">
      <c r="AJ578" s="8"/>
      <c r="FN578" s="8"/>
      <c r="FO578" s="8"/>
      <c r="FP578" s="8"/>
      <c r="FQ578" s="8"/>
      <c r="FR578" s="8"/>
      <c r="FS578" s="8"/>
      <c r="FT578" s="8"/>
      <c r="FU578" s="8"/>
    </row>
    <row r="579" spans="36:177" hidden="1" x14ac:dyDescent="0.2">
      <c r="AJ579" s="8"/>
      <c r="FN579" s="8"/>
      <c r="FO579" s="8"/>
      <c r="FP579" s="8"/>
      <c r="FQ579" s="8"/>
      <c r="FR579" s="8"/>
      <c r="FS579" s="8"/>
      <c r="FT579" s="8"/>
      <c r="FU579" s="8"/>
    </row>
    <row r="580" spans="36:177" hidden="1" x14ac:dyDescent="0.2">
      <c r="AJ580" s="8"/>
      <c r="FN580" s="8"/>
      <c r="FO580" s="8"/>
      <c r="FP580" s="8"/>
      <c r="FQ580" s="8"/>
      <c r="FR580" s="8"/>
      <c r="FS580" s="8"/>
      <c r="FT580" s="8"/>
      <c r="FU580" s="8"/>
    </row>
    <row r="581" spans="36:177" hidden="1" x14ac:dyDescent="0.2">
      <c r="AJ581" s="8"/>
      <c r="FN581" s="8"/>
      <c r="FO581" s="8"/>
      <c r="FP581" s="8"/>
      <c r="FQ581" s="8"/>
      <c r="FR581" s="8"/>
      <c r="FS581" s="8"/>
      <c r="FT581" s="8"/>
      <c r="FU581" s="8"/>
    </row>
    <row r="582" spans="36:177" hidden="1" x14ac:dyDescent="0.2">
      <c r="AJ582" s="8"/>
      <c r="FN582" s="8"/>
      <c r="FO582" s="8"/>
      <c r="FP582" s="8"/>
      <c r="FQ582" s="8"/>
      <c r="FR582" s="8"/>
      <c r="FS582" s="8"/>
      <c r="FT582" s="8"/>
      <c r="FU582" s="8"/>
    </row>
    <row r="583" spans="36:177" hidden="1" x14ac:dyDescent="0.2">
      <c r="AJ583" s="8"/>
      <c r="FN583" s="8"/>
      <c r="FO583" s="8"/>
      <c r="FP583" s="8"/>
      <c r="FQ583" s="8"/>
      <c r="FR583" s="8"/>
      <c r="FS583" s="8"/>
      <c r="FT583" s="8"/>
      <c r="FU583" s="8"/>
    </row>
    <row r="584" spans="36:177" hidden="1" x14ac:dyDescent="0.2">
      <c r="AJ584" s="8"/>
      <c r="FN584" s="8"/>
      <c r="FO584" s="8"/>
      <c r="FP584" s="8"/>
      <c r="FQ584" s="8"/>
      <c r="FR584" s="8"/>
      <c r="FS584" s="8"/>
      <c r="FT584" s="8"/>
      <c r="FU584" s="8"/>
    </row>
    <row r="585" spans="36:177" hidden="1" x14ac:dyDescent="0.2">
      <c r="AJ585" s="8"/>
      <c r="FN585" s="8"/>
      <c r="FO585" s="8"/>
      <c r="FP585" s="8"/>
      <c r="FQ585" s="8"/>
      <c r="FR585" s="8"/>
      <c r="FS585" s="8"/>
      <c r="FT585" s="8"/>
      <c r="FU585" s="8"/>
    </row>
    <row r="586" spans="36:177" hidden="1" x14ac:dyDescent="0.2">
      <c r="AJ586" s="8"/>
      <c r="FN586" s="8"/>
      <c r="FO586" s="8"/>
      <c r="FP586" s="8"/>
      <c r="FQ586" s="8"/>
      <c r="FR586" s="8"/>
      <c r="FS586" s="8"/>
      <c r="FT586" s="8"/>
      <c r="FU586" s="8"/>
    </row>
    <row r="587" spans="36:177" hidden="1" x14ac:dyDescent="0.2">
      <c r="AJ587" s="8"/>
      <c r="FN587" s="8"/>
      <c r="FO587" s="8"/>
      <c r="FP587" s="8"/>
      <c r="FQ587" s="8"/>
      <c r="FR587" s="8"/>
      <c r="FS587" s="8"/>
      <c r="FT587" s="8"/>
      <c r="FU587" s="8"/>
    </row>
    <row r="588" spans="36:177" hidden="1" x14ac:dyDescent="0.2">
      <c r="AJ588" s="8"/>
      <c r="FN588" s="8"/>
      <c r="FO588" s="8"/>
      <c r="FP588" s="8"/>
      <c r="FQ588" s="8"/>
      <c r="FR588" s="8"/>
      <c r="FS588" s="8"/>
      <c r="FT588" s="8"/>
      <c r="FU588" s="8"/>
    </row>
    <row r="589" spans="36:177" hidden="1" x14ac:dyDescent="0.2">
      <c r="AJ589" s="8"/>
      <c r="FN589" s="8"/>
      <c r="FO589" s="8"/>
      <c r="FP589" s="8"/>
      <c r="FQ589" s="8"/>
      <c r="FR589" s="8"/>
      <c r="FS589" s="8"/>
      <c r="FT589" s="8"/>
      <c r="FU589" s="8"/>
    </row>
    <row r="590" spans="36:177" hidden="1" x14ac:dyDescent="0.2">
      <c r="AJ590" s="8"/>
      <c r="FN590" s="8"/>
      <c r="FO590" s="8"/>
      <c r="FP590" s="8"/>
      <c r="FQ590" s="8"/>
      <c r="FR590" s="8"/>
      <c r="FS590" s="8"/>
      <c r="FT590" s="8"/>
      <c r="FU590" s="8"/>
    </row>
    <row r="591" spans="36:177" hidden="1" x14ac:dyDescent="0.2">
      <c r="AJ591" s="8"/>
      <c r="FN591" s="8"/>
      <c r="FO591" s="8"/>
      <c r="FP591" s="8"/>
      <c r="FQ591" s="8"/>
      <c r="FR591" s="8"/>
      <c r="FS591" s="8"/>
      <c r="FT591" s="8"/>
      <c r="FU591" s="8"/>
    </row>
    <row r="592" spans="36:177" hidden="1" x14ac:dyDescent="0.2">
      <c r="AJ592" s="8"/>
      <c r="FN592" s="8"/>
      <c r="FO592" s="8"/>
      <c r="FP592" s="8"/>
      <c r="FQ592" s="8"/>
      <c r="FR592" s="8"/>
      <c r="FS592" s="8"/>
      <c r="FT592" s="8"/>
      <c r="FU592" s="8"/>
    </row>
    <row r="593" spans="36:177" hidden="1" x14ac:dyDescent="0.2">
      <c r="AJ593" s="8"/>
      <c r="FN593" s="8"/>
      <c r="FO593" s="8"/>
      <c r="FP593" s="8"/>
      <c r="FQ593" s="8"/>
      <c r="FR593" s="8"/>
      <c r="FS593" s="8"/>
      <c r="FT593" s="8"/>
      <c r="FU593" s="8"/>
    </row>
    <row r="594" spans="36:177" hidden="1" x14ac:dyDescent="0.2">
      <c r="AJ594" s="8"/>
      <c r="FN594" s="8"/>
      <c r="FO594" s="8"/>
      <c r="FP594" s="8"/>
      <c r="FQ594" s="8"/>
      <c r="FR594" s="8"/>
      <c r="FS594" s="8"/>
      <c r="FT594" s="8"/>
      <c r="FU594" s="8"/>
    </row>
    <row r="595" spans="36:177" hidden="1" x14ac:dyDescent="0.2">
      <c r="AJ595" s="8"/>
      <c r="FN595" s="8"/>
      <c r="FO595" s="8"/>
      <c r="FP595" s="8"/>
      <c r="FQ595" s="8"/>
      <c r="FR595" s="8"/>
      <c r="FS595" s="8"/>
      <c r="FT595" s="8"/>
      <c r="FU595" s="8"/>
    </row>
    <row r="596" spans="36:177" hidden="1" x14ac:dyDescent="0.2">
      <c r="AJ596" s="8"/>
      <c r="FN596" s="8"/>
      <c r="FO596" s="8"/>
      <c r="FP596" s="8"/>
      <c r="FQ596" s="8"/>
      <c r="FR596" s="8"/>
      <c r="FS596" s="8"/>
      <c r="FT596" s="8"/>
      <c r="FU596" s="8"/>
    </row>
    <row r="597" spans="36:177" hidden="1" x14ac:dyDescent="0.2">
      <c r="AJ597" s="8"/>
      <c r="FN597" s="8"/>
      <c r="FO597" s="8"/>
      <c r="FP597" s="8"/>
      <c r="FQ597" s="8"/>
      <c r="FR597" s="8"/>
      <c r="FS597" s="8"/>
      <c r="FT597" s="8"/>
      <c r="FU597" s="8"/>
    </row>
    <row r="598" spans="36:177" hidden="1" x14ac:dyDescent="0.2">
      <c r="AJ598" s="8"/>
      <c r="FN598" s="8"/>
      <c r="FO598" s="8"/>
      <c r="FP598" s="8"/>
      <c r="FQ598" s="8"/>
      <c r="FR598" s="8"/>
      <c r="FS598" s="8"/>
      <c r="FT598" s="8"/>
      <c r="FU598" s="8"/>
    </row>
    <row r="599" spans="36:177" hidden="1" x14ac:dyDescent="0.2">
      <c r="AJ599" s="8"/>
      <c r="FN599" s="8"/>
      <c r="FO599" s="8"/>
      <c r="FP599" s="8"/>
      <c r="FQ599" s="8"/>
      <c r="FR599" s="8"/>
      <c r="FS599" s="8"/>
      <c r="FT599" s="8"/>
      <c r="FU599" s="8"/>
    </row>
    <row r="600" spans="36:177" hidden="1" x14ac:dyDescent="0.2">
      <c r="AJ600" s="8"/>
      <c r="FN600" s="8"/>
      <c r="FO600" s="8"/>
      <c r="FP600" s="8"/>
      <c r="FQ600" s="8"/>
      <c r="FR600" s="8"/>
      <c r="FS600" s="8"/>
      <c r="FT600" s="8"/>
      <c r="FU600" s="8"/>
    </row>
    <row r="601" spans="36:177" hidden="1" x14ac:dyDescent="0.2">
      <c r="AJ601" s="8"/>
      <c r="FN601" s="8"/>
      <c r="FO601" s="8"/>
      <c r="FP601" s="8"/>
      <c r="FQ601" s="8"/>
      <c r="FR601" s="8"/>
      <c r="FS601" s="8"/>
      <c r="FT601" s="8"/>
      <c r="FU601" s="8"/>
    </row>
    <row r="602" spans="36:177" hidden="1" x14ac:dyDescent="0.2">
      <c r="AJ602" s="8"/>
      <c r="FN602" s="8"/>
      <c r="FO602" s="8"/>
      <c r="FP602" s="8"/>
      <c r="FQ602" s="8"/>
      <c r="FR602" s="8"/>
      <c r="FS602" s="8"/>
      <c r="FT602" s="8"/>
      <c r="FU602" s="8"/>
    </row>
    <row r="603" spans="36:177" hidden="1" x14ac:dyDescent="0.2">
      <c r="AJ603" s="8"/>
      <c r="FN603" s="8"/>
      <c r="FO603" s="8"/>
      <c r="FP603" s="8"/>
      <c r="FQ603" s="8"/>
      <c r="FR603" s="8"/>
      <c r="FS603" s="8"/>
      <c r="FT603" s="8"/>
      <c r="FU603" s="8"/>
    </row>
    <row r="604" spans="36:177" hidden="1" x14ac:dyDescent="0.2">
      <c r="AJ604" s="8"/>
      <c r="FN604" s="8"/>
      <c r="FO604" s="8"/>
      <c r="FP604" s="8"/>
      <c r="FQ604" s="8"/>
      <c r="FR604" s="8"/>
      <c r="FS604" s="8"/>
      <c r="FT604" s="8"/>
      <c r="FU604" s="8"/>
    </row>
    <row r="605" spans="36:177" hidden="1" x14ac:dyDescent="0.2">
      <c r="AJ605" s="8"/>
      <c r="FN605" s="8"/>
      <c r="FO605" s="8"/>
      <c r="FP605" s="8"/>
      <c r="FQ605" s="8"/>
      <c r="FR605" s="8"/>
      <c r="FS605" s="8"/>
      <c r="FT605" s="8"/>
      <c r="FU605" s="8"/>
    </row>
    <row r="606" spans="36:177" hidden="1" x14ac:dyDescent="0.2">
      <c r="AJ606" s="8"/>
      <c r="FN606" s="8"/>
      <c r="FO606" s="8"/>
      <c r="FP606" s="8"/>
      <c r="FQ606" s="8"/>
      <c r="FR606" s="8"/>
      <c r="FS606" s="8"/>
      <c r="FT606" s="8"/>
      <c r="FU606" s="8"/>
    </row>
    <row r="607" spans="36:177" hidden="1" x14ac:dyDescent="0.2">
      <c r="AJ607" s="8"/>
      <c r="FN607" s="8"/>
      <c r="FO607" s="8"/>
      <c r="FP607" s="8"/>
      <c r="FQ607" s="8"/>
      <c r="FR607" s="8"/>
      <c r="FS607" s="8"/>
      <c r="FT607" s="8"/>
      <c r="FU607" s="8"/>
    </row>
    <row r="608" spans="36:177" hidden="1" x14ac:dyDescent="0.2">
      <c r="AJ608" s="8"/>
      <c r="FN608" s="8"/>
      <c r="FO608" s="8"/>
      <c r="FP608" s="8"/>
      <c r="FQ608" s="8"/>
      <c r="FR608" s="8"/>
      <c r="FS608" s="8"/>
      <c r="FT608" s="8"/>
      <c r="FU608" s="8"/>
    </row>
    <row r="609" spans="36:177" hidden="1" x14ac:dyDescent="0.2">
      <c r="AJ609" s="8"/>
      <c r="FN609" s="8"/>
      <c r="FO609" s="8"/>
      <c r="FP609" s="8"/>
      <c r="FQ609" s="8"/>
      <c r="FR609" s="8"/>
      <c r="FS609" s="8"/>
      <c r="FT609" s="8"/>
      <c r="FU609" s="8"/>
    </row>
    <row r="610" spans="36:177" hidden="1" x14ac:dyDescent="0.2">
      <c r="AJ610" s="8"/>
    </row>
    <row r="611" spans="36:177" hidden="1" x14ac:dyDescent="0.2">
      <c r="AJ611" s="8"/>
      <c r="FN611" s="8"/>
      <c r="FO611" s="8"/>
      <c r="FP611" s="8"/>
      <c r="FQ611" s="8"/>
      <c r="FR611" s="8"/>
      <c r="FS611" s="8"/>
      <c r="FT611" s="8"/>
      <c r="FU611" s="8"/>
    </row>
    <row r="612" spans="36:177" hidden="1" x14ac:dyDescent="0.2">
      <c r="AJ612" s="8"/>
      <c r="FN612" s="8"/>
      <c r="FO612" s="8"/>
      <c r="FP612" s="8"/>
      <c r="FQ612" s="8"/>
      <c r="FR612" s="8"/>
      <c r="FS612" s="8"/>
      <c r="FT612" s="8"/>
      <c r="FU612" s="8"/>
    </row>
    <row r="613" spans="36:177" hidden="1" x14ac:dyDescent="0.2">
      <c r="AJ613" s="8"/>
      <c r="FN613" s="8"/>
      <c r="FO613" s="8"/>
      <c r="FP613" s="8"/>
      <c r="FQ613" s="8"/>
      <c r="FR613" s="8"/>
      <c r="FS613" s="8"/>
      <c r="FT613" s="8"/>
      <c r="FU613" s="8"/>
    </row>
    <row r="614" spans="36:177" hidden="1" x14ac:dyDescent="0.2">
      <c r="AJ614" s="8"/>
      <c r="FN614" s="8"/>
      <c r="FO614" s="8"/>
      <c r="FP614" s="8"/>
      <c r="FQ614" s="8"/>
      <c r="FR614" s="8"/>
      <c r="FS614" s="8"/>
      <c r="FT614" s="8"/>
      <c r="FU614" s="8"/>
    </row>
    <row r="615" spans="36:177" hidden="1" x14ac:dyDescent="0.2">
      <c r="AJ615" s="8"/>
      <c r="FN615" s="8"/>
      <c r="FO615" s="8"/>
      <c r="FP615" s="8"/>
      <c r="FQ615" s="8"/>
      <c r="FR615" s="8"/>
      <c r="FS615" s="8"/>
      <c r="FT615" s="8"/>
      <c r="FU615" s="8"/>
    </row>
    <row r="616" spans="36:177" hidden="1" x14ac:dyDescent="0.2">
      <c r="AJ616" s="8"/>
      <c r="FN616" s="8"/>
      <c r="FO616" s="8"/>
      <c r="FP616" s="8"/>
      <c r="FQ616" s="8"/>
      <c r="FR616" s="8"/>
      <c r="FS616" s="8"/>
      <c r="FT616" s="8"/>
      <c r="FU616" s="8"/>
    </row>
    <row r="617" spans="36:177" hidden="1" x14ac:dyDescent="0.2">
      <c r="AJ617" s="8"/>
      <c r="FN617" s="8"/>
      <c r="FO617" s="8"/>
      <c r="FP617" s="8"/>
      <c r="FQ617" s="8"/>
      <c r="FR617" s="8"/>
      <c r="FS617" s="8"/>
      <c r="FT617" s="8"/>
      <c r="FU617" s="8"/>
    </row>
    <row r="618" spans="36:177" hidden="1" x14ac:dyDescent="0.2">
      <c r="AJ618" s="8"/>
      <c r="FN618" s="8"/>
      <c r="FO618" s="8"/>
      <c r="FP618" s="8"/>
      <c r="FQ618" s="8"/>
      <c r="FR618" s="8"/>
      <c r="FS618" s="8"/>
      <c r="FT618" s="8"/>
      <c r="FU618" s="8"/>
    </row>
    <row r="619" spans="36:177" hidden="1" x14ac:dyDescent="0.2">
      <c r="AJ619" s="8"/>
      <c r="FN619" s="8"/>
      <c r="FO619" s="8"/>
      <c r="FP619" s="8"/>
      <c r="FQ619" s="8"/>
      <c r="FR619" s="8"/>
      <c r="FS619" s="8"/>
      <c r="FT619" s="8"/>
      <c r="FU619" s="8"/>
    </row>
    <row r="620" spans="36:177" hidden="1" x14ac:dyDescent="0.2">
      <c r="AJ620" s="8"/>
      <c r="FN620" s="8"/>
      <c r="FO620" s="8"/>
      <c r="FP620" s="8"/>
      <c r="FQ620" s="8"/>
      <c r="FR620" s="8"/>
      <c r="FS620" s="8"/>
      <c r="FT620" s="8"/>
      <c r="FU620" s="8"/>
    </row>
    <row r="621" spans="36:177" hidden="1" x14ac:dyDescent="0.2">
      <c r="AJ621" s="8"/>
      <c r="FN621" s="8"/>
      <c r="FO621" s="8"/>
      <c r="FP621" s="8"/>
      <c r="FQ621" s="8"/>
      <c r="FR621" s="8"/>
      <c r="FS621" s="8"/>
      <c r="FT621" s="8"/>
      <c r="FU621" s="8"/>
    </row>
    <row r="622" spans="36:177" hidden="1" x14ac:dyDescent="0.2">
      <c r="AJ622" s="8"/>
      <c r="FN622" s="8"/>
      <c r="FO622" s="8"/>
      <c r="FP622" s="8"/>
      <c r="FQ622" s="8"/>
      <c r="FR622" s="8"/>
      <c r="FS622" s="8"/>
      <c r="FT622" s="8"/>
      <c r="FU622" s="8"/>
    </row>
    <row r="623" spans="36:177" hidden="1" x14ac:dyDescent="0.2">
      <c r="AJ623" s="8"/>
      <c r="FN623" s="8"/>
      <c r="FO623" s="8"/>
      <c r="FP623" s="8"/>
      <c r="FQ623" s="8"/>
      <c r="FR623" s="8"/>
      <c r="FS623" s="8"/>
      <c r="FT623" s="8"/>
      <c r="FU623" s="8"/>
    </row>
    <row r="624" spans="36:177" hidden="1" x14ac:dyDescent="0.2">
      <c r="AJ624" s="8"/>
      <c r="FN624" s="8"/>
      <c r="FO624" s="8"/>
      <c r="FP624" s="8"/>
      <c r="FQ624" s="8"/>
      <c r="FR624" s="8"/>
      <c r="FS624" s="8"/>
      <c r="FT624" s="8"/>
      <c r="FU624" s="8"/>
    </row>
    <row r="625" spans="36:177" hidden="1" x14ac:dyDescent="0.2">
      <c r="AJ625" s="8"/>
      <c r="FN625" s="8"/>
      <c r="FO625" s="8"/>
      <c r="FP625" s="8"/>
      <c r="FQ625" s="8"/>
      <c r="FR625" s="8"/>
      <c r="FS625" s="8"/>
      <c r="FT625" s="8"/>
      <c r="FU625" s="8"/>
    </row>
    <row r="626" spans="36:177" hidden="1" x14ac:dyDescent="0.2">
      <c r="AJ626" s="8"/>
      <c r="FN626" s="8"/>
      <c r="FO626" s="8"/>
      <c r="FP626" s="8"/>
      <c r="FQ626" s="8"/>
      <c r="FR626" s="8"/>
      <c r="FS626" s="8"/>
      <c r="FT626" s="8"/>
      <c r="FU626" s="8"/>
    </row>
    <row r="627" spans="36:177" hidden="1" x14ac:dyDescent="0.2">
      <c r="AJ627" s="8"/>
      <c r="FN627" s="8"/>
      <c r="FO627" s="8"/>
      <c r="FP627" s="8"/>
      <c r="FQ627" s="8"/>
      <c r="FR627" s="8"/>
      <c r="FS627" s="8"/>
      <c r="FT627" s="8"/>
      <c r="FU627" s="8"/>
    </row>
    <row r="628" spans="36:177" hidden="1" x14ac:dyDescent="0.2">
      <c r="AJ628" s="8"/>
      <c r="FN628" s="8"/>
      <c r="FO628" s="8"/>
      <c r="FP628" s="8"/>
      <c r="FQ628" s="8"/>
      <c r="FR628" s="8"/>
      <c r="FS628" s="8"/>
      <c r="FT628" s="8"/>
      <c r="FU628" s="8"/>
    </row>
    <row r="629" spans="36:177" hidden="1" x14ac:dyDescent="0.2">
      <c r="AJ629" s="8"/>
      <c r="FN629" s="8"/>
      <c r="FO629" s="8"/>
      <c r="FP629" s="8"/>
      <c r="FQ629" s="8"/>
      <c r="FR629" s="8"/>
      <c r="FS629" s="8"/>
      <c r="FT629" s="8"/>
      <c r="FU629" s="8"/>
    </row>
    <row r="630" spans="36:177" hidden="1" x14ac:dyDescent="0.2">
      <c r="AJ630" s="8"/>
      <c r="FN630" s="8"/>
      <c r="FO630" s="8"/>
      <c r="FP630" s="8"/>
      <c r="FQ630" s="8"/>
      <c r="FR630" s="8"/>
      <c r="FS630" s="8"/>
      <c r="FT630" s="8"/>
      <c r="FU630" s="8"/>
    </row>
    <row r="631" spans="36:177" hidden="1" x14ac:dyDescent="0.2">
      <c r="AJ631" s="8"/>
      <c r="FN631" s="8"/>
      <c r="FO631" s="8"/>
      <c r="FP631" s="8"/>
      <c r="FQ631" s="8"/>
      <c r="FR631" s="8"/>
      <c r="FS631" s="8"/>
      <c r="FT631" s="8"/>
      <c r="FU631" s="8"/>
    </row>
    <row r="632" spans="36:177" hidden="1" x14ac:dyDescent="0.2">
      <c r="AJ632" s="8"/>
      <c r="FN632" s="8"/>
      <c r="FO632" s="8"/>
      <c r="FP632" s="8"/>
      <c r="FQ632" s="8"/>
      <c r="FR632" s="8"/>
      <c r="FS632" s="8"/>
      <c r="FT632" s="8"/>
      <c r="FU632" s="8"/>
    </row>
    <row r="633" spans="36:177" hidden="1" x14ac:dyDescent="0.2">
      <c r="AJ633" s="8"/>
      <c r="FN633" s="8"/>
      <c r="FO633" s="8"/>
      <c r="FP633" s="8"/>
      <c r="FQ633" s="8"/>
      <c r="FR633" s="8"/>
      <c r="FS633" s="8"/>
      <c r="FT633" s="8"/>
      <c r="FU633" s="8"/>
    </row>
    <row r="634" spans="36:177" hidden="1" x14ac:dyDescent="0.2">
      <c r="FN634" s="8"/>
      <c r="FO634" s="8"/>
      <c r="FP634" s="8"/>
      <c r="FQ634" s="8"/>
      <c r="FR634" s="8"/>
      <c r="FS634" s="8"/>
      <c r="FT634" s="8"/>
      <c r="FU634" s="8"/>
    </row>
    <row r="635" spans="36:177" hidden="1" x14ac:dyDescent="0.2">
      <c r="AJ635" s="8"/>
      <c r="FN635" s="8"/>
      <c r="FO635" s="8"/>
      <c r="FP635" s="8"/>
      <c r="FQ635" s="8"/>
      <c r="FR635" s="8"/>
      <c r="FS635" s="8"/>
      <c r="FT635" s="8"/>
      <c r="FU635" s="8"/>
    </row>
    <row r="636" spans="36:177" hidden="1" x14ac:dyDescent="0.2">
      <c r="AJ636" s="8"/>
      <c r="FN636" s="8"/>
      <c r="FO636" s="8"/>
      <c r="FP636" s="8"/>
      <c r="FQ636" s="8"/>
      <c r="FR636" s="8"/>
      <c r="FS636" s="8"/>
      <c r="FT636" s="8"/>
      <c r="FU636" s="8"/>
    </row>
    <row r="637" spans="36:177" hidden="1" x14ac:dyDescent="0.2">
      <c r="AJ637" s="8"/>
      <c r="FN637" s="8"/>
      <c r="FO637" s="8"/>
      <c r="FP637" s="8"/>
      <c r="FQ637" s="8"/>
      <c r="FR637" s="8"/>
      <c r="FS637" s="8"/>
      <c r="FT637" s="8"/>
      <c r="FU637" s="8"/>
    </row>
    <row r="638" spans="36:177" hidden="1" x14ac:dyDescent="0.2">
      <c r="AJ638" s="8"/>
      <c r="FN638" s="8"/>
      <c r="FO638" s="8"/>
      <c r="FP638" s="8"/>
      <c r="FQ638" s="8"/>
      <c r="FR638" s="8"/>
      <c r="FS638" s="8"/>
      <c r="FT638" s="8"/>
      <c r="FU638" s="8"/>
    </row>
    <row r="639" spans="36:177" hidden="1" x14ac:dyDescent="0.2">
      <c r="AJ639" s="8"/>
      <c r="FN639" s="8"/>
      <c r="FO639" s="8"/>
      <c r="FP639" s="8"/>
      <c r="FQ639" s="8"/>
      <c r="FR639" s="8"/>
      <c r="FS639" s="8"/>
      <c r="FT639" s="8"/>
      <c r="FU639" s="8"/>
    </row>
    <row r="640" spans="36:177" hidden="1" x14ac:dyDescent="0.2">
      <c r="AJ640" s="8"/>
      <c r="FN640" s="8"/>
      <c r="FO640" s="8"/>
      <c r="FP640" s="8"/>
      <c r="FQ640" s="8"/>
      <c r="FR640" s="8"/>
      <c r="FS640" s="8"/>
      <c r="FT640" s="8"/>
      <c r="FU640" s="8"/>
    </row>
    <row r="641" spans="36:177" hidden="1" x14ac:dyDescent="0.2">
      <c r="AJ641" s="8"/>
      <c r="FN641" s="8"/>
      <c r="FO641" s="8"/>
      <c r="FP641" s="8"/>
      <c r="FQ641" s="8"/>
      <c r="FR641" s="8"/>
      <c r="FS641" s="8"/>
      <c r="FT641" s="8"/>
      <c r="FU641" s="8"/>
    </row>
    <row r="642" spans="36:177" hidden="1" x14ac:dyDescent="0.2">
      <c r="AJ642" s="8"/>
      <c r="FN642" s="8"/>
      <c r="FO642" s="8"/>
      <c r="FP642" s="8"/>
      <c r="FQ642" s="8"/>
      <c r="FR642" s="8"/>
      <c r="FS642" s="8"/>
      <c r="FT642" s="8"/>
      <c r="FU642" s="8"/>
    </row>
    <row r="643" spans="36:177" hidden="1" x14ac:dyDescent="0.2">
      <c r="AJ643" s="8"/>
      <c r="FN643" s="8"/>
      <c r="FO643" s="8"/>
      <c r="FP643" s="8"/>
      <c r="FQ643" s="8"/>
      <c r="FR643" s="8"/>
      <c r="FS643" s="8"/>
      <c r="FT643" s="8"/>
      <c r="FU643" s="8"/>
    </row>
    <row r="644" spans="36:177" hidden="1" x14ac:dyDescent="0.2">
      <c r="AJ644" s="8"/>
      <c r="FN644" s="8"/>
      <c r="FO644" s="8"/>
      <c r="FP644" s="8"/>
      <c r="FQ644" s="8"/>
      <c r="FR644" s="8"/>
      <c r="FS644" s="8"/>
      <c r="FT644" s="8"/>
      <c r="FU644" s="8"/>
    </row>
    <row r="645" spans="36:177" hidden="1" x14ac:dyDescent="0.2">
      <c r="AJ645" s="8"/>
      <c r="FN645" s="8"/>
      <c r="FO645" s="8"/>
      <c r="FP645" s="8"/>
      <c r="FQ645" s="8"/>
      <c r="FR645" s="8"/>
      <c r="FS645" s="8"/>
      <c r="FT645" s="8"/>
      <c r="FU645" s="8"/>
    </row>
    <row r="646" spans="36:177" hidden="1" x14ac:dyDescent="0.2">
      <c r="AJ646" s="8"/>
      <c r="FN646" s="8"/>
      <c r="FO646" s="8"/>
      <c r="FP646" s="8"/>
      <c r="FQ646" s="8"/>
      <c r="FR646" s="8"/>
      <c r="FS646" s="8"/>
      <c r="FT646" s="8"/>
      <c r="FU646" s="8"/>
    </row>
    <row r="647" spans="36:177" hidden="1" x14ac:dyDescent="0.2">
      <c r="AJ647" s="8"/>
      <c r="FN647" s="8"/>
      <c r="FO647" s="8"/>
      <c r="FP647" s="8"/>
      <c r="FQ647" s="8"/>
      <c r="FR647" s="8"/>
      <c r="FS647" s="8"/>
      <c r="FT647" s="8"/>
      <c r="FU647" s="8"/>
    </row>
    <row r="648" spans="36:177" hidden="1" x14ac:dyDescent="0.2">
      <c r="AJ648" s="8"/>
      <c r="FN648" s="8"/>
      <c r="FO648" s="8"/>
      <c r="FP648" s="8"/>
      <c r="FQ648" s="8"/>
      <c r="FR648" s="8"/>
      <c r="FS648" s="8"/>
      <c r="FT648" s="8"/>
      <c r="FU648" s="8"/>
    </row>
    <row r="649" spans="36:177" hidden="1" x14ac:dyDescent="0.2">
      <c r="AJ649" s="8"/>
      <c r="FN649" s="8"/>
      <c r="FO649" s="8"/>
      <c r="FP649" s="8"/>
      <c r="FQ649" s="8"/>
      <c r="FR649" s="8"/>
      <c r="FS649" s="8"/>
      <c r="FT649" s="8"/>
      <c r="FU649" s="8"/>
    </row>
    <row r="650" spans="36:177" hidden="1" x14ac:dyDescent="0.2">
      <c r="AJ650" s="8"/>
      <c r="FN650" s="8"/>
      <c r="FO650" s="8"/>
      <c r="FP650" s="8"/>
      <c r="FQ650" s="8"/>
      <c r="FR650" s="8"/>
      <c r="FS650" s="8"/>
      <c r="FT650" s="8"/>
      <c r="FU650" s="8"/>
    </row>
    <row r="651" spans="36:177" hidden="1" x14ac:dyDescent="0.2">
      <c r="AJ651" s="8"/>
      <c r="FN651" s="8"/>
      <c r="FO651" s="8"/>
      <c r="FP651" s="8"/>
      <c r="FQ651" s="8"/>
      <c r="FR651" s="8"/>
      <c r="FS651" s="8"/>
      <c r="FT651" s="8"/>
      <c r="FU651" s="8"/>
    </row>
    <row r="652" spans="36:177" hidden="1" x14ac:dyDescent="0.2">
      <c r="AJ652" s="8"/>
      <c r="FN652" s="8"/>
      <c r="FO652" s="8"/>
      <c r="FP652" s="8"/>
      <c r="FQ652" s="8"/>
      <c r="FR652" s="8"/>
      <c r="FS652" s="8"/>
      <c r="FT652" s="8"/>
      <c r="FU652" s="8"/>
    </row>
    <row r="653" spans="36:177" hidden="1" x14ac:dyDescent="0.2">
      <c r="AJ653" s="8"/>
      <c r="FN653" s="8"/>
      <c r="FO653" s="8"/>
      <c r="FP653" s="8"/>
      <c r="FQ653" s="8"/>
      <c r="FR653" s="8"/>
      <c r="FS653" s="8"/>
      <c r="FT653" s="8"/>
      <c r="FU653" s="8"/>
    </row>
    <row r="654" spans="36:177" hidden="1" x14ac:dyDescent="0.2">
      <c r="AJ654" s="8"/>
      <c r="FN654" s="8"/>
      <c r="FO654" s="8"/>
      <c r="FP654" s="8"/>
      <c r="FQ654" s="8"/>
      <c r="FR654" s="8"/>
      <c r="FS654" s="8"/>
      <c r="FT654" s="8"/>
      <c r="FU654" s="8"/>
    </row>
    <row r="655" spans="36:177" hidden="1" x14ac:dyDescent="0.2">
      <c r="AJ655" s="8"/>
      <c r="FN655" s="8"/>
      <c r="FO655" s="8"/>
      <c r="FP655" s="8"/>
      <c r="FQ655" s="8"/>
      <c r="FR655" s="8"/>
      <c r="FS655" s="8"/>
      <c r="FT655" s="8"/>
      <c r="FU655" s="8"/>
    </row>
    <row r="656" spans="36:177" hidden="1" x14ac:dyDescent="0.2">
      <c r="AJ656" s="8"/>
      <c r="FN656" s="8"/>
      <c r="FO656" s="8"/>
      <c r="FP656" s="8"/>
      <c r="FQ656" s="8"/>
      <c r="FR656" s="8"/>
      <c r="FS656" s="8"/>
      <c r="FT656" s="8"/>
      <c r="FU656" s="8"/>
    </row>
    <row r="657" spans="36:177" hidden="1" x14ac:dyDescent="0.2">
      <c r="AJ657" s="8"/>
      <c r="FN657" s="8"/>
      <c r="FO657" s="8"/>
      <c r="FP657" s="8"/>
      <c r="FQ657" s="8"/>
      <c r="FR657" s="8"/>
      <c r="FS657" s="8"/>
      <c r="FT657" s="8"/>
      <c r="FU657" s="8"/>
    </row>
    <row r="658" spans="36:177" hidden="1" x14ac:dyDescent="0.2">
      <c r="AJ658" s="8"/>
      <c r="FN658" s="8"/>
      <c r="FO658" s="8"/>
      <c r="FP658" s="8"/>
      <c r="FQ658" s="8"/>
      <c r="FR658" s="8"/>
      <c r="FS658" s="8"/>
      <c r="FT658" s="8"/>
      <c r="FU658" s="8"/>
    </row>
    <row r="659" spans="36:177" hidden="1" x14ac:dyDescent="0.2">
      <c r="AJ659" s="8"/>
      <c r="FN659" s="8"/>
      <c r="FO659" s="8"/>
      <c r="FP659" s="8"/>
      <c r="FQ659" s="8"/>
      <c r="FR659" s="8"/>
      <c r="FS659" s="8"/>
      <c r="FT659" s="8"/>
      <c r="FU659" s="8"/>
    </row>
    <row r="660" spans="36:177" hidden="1" x14ac:dyDescent="0.2">
      <c r="AJ660" s="8"/>
      <c r="FN660" s="8"/>
      <c r="FO660" s="8"/>
      <c r="FP660" s="8"/>
      <c r="FQ660" s="8"/>
      <c r="FR660" s="8"/>
      <c r="FS660" s="8"/>
      <c r="FT660" s="8"/>
      <c r="FU660" s="8"/>
    </row>
    <row r="661" spans="36:177" hidden="1" x14ac:dyDescent="0.2">
      <c r="AJ661" s="8"/>
      <c r="FN661" s="8"/>
      <c r="FO661" s="8"/>
      <c r="FP661" s="8"/>
      <c r="FQ661" s="8"/>
      <c r="FR661" s="8"/>
      <c r="FS661" s="8"/>
      <c r="FT661" s="8"/>
      <c r="FU661" s="8"/>
    </row>
    <row r="662" spans="36:177" hidden="1" x14ac:dyDescent="0.2">
      <c r="AJ662" s="8"/>
      <c r="FN662" s="8"/>
      <c r="FO662" s="8"/>
      <c r="FP662" s="8"/>
      <c r="FQ662" s="8"/>
      <c r="FR662" s="8"/>
      <c r="FS662" s="8"/>
      <c r="FT662" s="8"/>
      <c r="FU662" s="8"/>
    </row>
    <row r="663" spans="36:177" hidden="1" x14ac:dyDescent="0.2">
      <c r="AJ663" s="8"/>
      <c r="FN663" s="8"/>
      <c r="FO663" s="8"/>
      <c r="FP663" s="8"/>
      <c r="FQ663" s="8"/>
      <c r="FR663" s="8"/>
      <c r="FS663" s="8"/>
      <c r="FT663" s="8"/>
      <c r="FU663" s="8"/>
    </row>
    <row r="664" spans="36:177" hidden="1" x14ac:dyDescent="0.2">
      <c r="AJ664" s="8"/>
      <c r="FN664" s="8"/>
      <c r="FO664" s="8"/>
      <c r="FP664" s="8"/>
      <c r="FQ664" s="8"/>
      <c r="FR664" s="8"/>
      <c r="FS664" s="8"/>
      <c r="FT664" s="8"/>
      <c r="FU664" s="8"/>
    </row>
    <row r="665" spans="36:177" hidden="1" x14ac:dyDescent="0.2">
      <c r="AJ665" s="8"/>
      <c r="FN665" s="8"/>
      <c r="FO665" s="8"/>
      <c r="FP665" s="8"/>
      <c r="FQ665" s="8"/>
      <c r="FR665" s="8"/>
      <c r="FS665" s="8"/>
      <c r="FT665" s="8"/>
      <c r="FU665" s="8"/>
    </row>
    <row r="666" spans="36:177" hidden="1" x14ac:dyDescent="0.2">
      <c r="AJ666" s="8"/>
      <c r="FN666" s="8"/>
      <c r="FO666" s="8"/>
      <c r="FP666" s="8"/>
      <c r="FQ666" s="8"/>
      <c r="FR666" s="8"/>
      <c r="FS666" s="8"/>
      <c r="FT666" s="8"/>
      <c r="FU666" s="8"/>
    </row>
    <row r="667" spans="36:177" hidden="1" x14ac:dyDescent="0.2">
      <c r="AJ667" s="8"/>
      <c r="FN667" s="8"/>
      <c r="FO667" s="8"/>
      <c r="FP667" s="8"/>
      <c r="FQ667" s="8"/>
      <c r="FR667" s="8"/>
      <c r="FS667" s="8"/>
      <c r="FT667" s="8"/>
      <c r="FU667" s="8"/>
    </row>
    <row r="668" spans="36:177" hidden="1" x14ac:dyDescent="0.2">
      <c r="AJ668" s="8"/>
      <c r="FN668" s="8"/>
      <c r="FO668" s="8"/>
      <c r="FP668" s="8"/>
      <c r="FQ668" s="8"/>
      <c r="FR668" s="8"/>
      <c r="FS668" s="8"/>
      <c r="FT668" s="8"/>
      <c r="FU668" s="8"/>
    </row>
    <row r="669" spans="36:177" hidden="1" x14ac:dyDescent="0.2">
      <c r="AJ669" s="8"/>
      <c r="FN669" s="8"/>
      <c r="FO669" s="8"/>
      <c r="FP669" s="8"/>
      <c r="FQ669" s="8"/>
      <c r="FR669" s="8"/>
      <c r="FS669" s="8"/>
      <c r="FT669" s="8"/>
      <c r="FU669" s="8"/>
    </row>
    <row r="670" spans="36:177" hidden="1" x14ac:dyDescent="0.2">
      <c r="AJ670" s="8"/>
      <c r="FN670" s="8"/>
      <c r="FO670" s="8"/>
      <c r="FP670" s="8"/>
      <c r="FQ670" s="8"/>
      <c r="FR670" s="8"/>
      <c r="FS670" s="8"/>
      <c r="FT670" s="8"/>
      <c r="FU670" s="8"/>
    </row>
    <row r="671" spans="36:177" hidden="1" x14ac:dyDescent="0.2">
      <c r="AJ671" s="8"/>
      <c r="FN671" s="8"/>
      <c r="FO671" s="8"/>
      <c r="FP671" s="8"/>
      <c r="FQ671" s="8"/>
      <c r="FR671" s="8"/>
      <c r="FS671" s="8"/>
      <c r="FT671" s="8"/>
      <c r="FU671" s="8"/>
    </row>
    <row r="672" spans="36:177" hidden="1" x14ac:dyDescent="0.2">
      <c r="AJ672" s="8"/>
      <c r="FN672" s="8"/>
      <c r="FO672" s="8"/>
      <c r="FP672" s="8"/>
      <c r="FQ672" s="8"/>
      <c r="FR672" s="8"/>
      <c r="FS672" s="8"/>
      <c r="FT672" s="8"/>
      <c r="FU672" s="8"/>
    </row>
    <row r="673" spans="36:177" hidden="1" x14ac:dyDescent="0.2">
      <c r="AJ673" s="8"/>
      <c r="FN673" s="8"/>
      <c r="FO673" s="8"/>
      <c r="FP673" s="8"/>
      <c r="FQ673" s="8"/>
      <c r="FR673" s="8"/>
      <c r="FS673" s="8"/>
      <c r="FT673" s="8"/>
      <c r="FU673" s="8"/>
    </row>
    <row r="674" spans="36:177" hidden="1" x14ac:dyDescent="0.2">
      <c r="AJ674" s="8"/>
      <c r="FN674" s="8"/>
      <c r="FO674" s="8"/>
      <c r="FP674" s="8"/>
      <c r="FQ674" s="8"/>
      <c r="FR674" s="8"/>
      <c r="FS674" s="8"/>
      <c r="FT674" s="8"/>
      <c r="FU674" s="8"/>
    </row>
    <row r="675" spans="36:177" hidden="1" x14ac:dyDescent="0.2">
      <c r="AJ675" s="8"/>
      <c r="FN675" s="8"/>
      <c r="FO675" s="8"/>
      <c r="FP675" s="8"/>
      <c r="FQ675" s="8"/>
      <c r="FR675" s="8"/>
      <c r="FS675" s="8"/>
      <c r="FT675" s="8"/>
      <c r="FU675" s="8"/>
    </row>
    <row r="676" spans="36:177" hidden="1" x14ac:dyDescent="0.2">
      <c r="AJ676" s="8"/>
      <c r="FN676" s="8"/>
      <c r="FO676" s="8"/>
      <c r="FP676" s="8"/>
      <c r="FQ676" s="8"/>
      <c r="FR676" s="8"/>
      <c r="FS676" s="8"/>
      <c r="FT676" s="8"/>
      <c r="FU676" s="8"/>
    </row>
    <row r="677" spans="36:177" hidden="1" x14ac:dyDescent="0.2">
      <c r="AJ677" s="8"/>
      <c r="FN677" s="8"/>
      <c r="FO677" s="8"/>
      <c r="FP677" s="8"/>
      <c r="FQ677" s="8"/>
      <c r="FR677" s="8"/>
      <c r="FS677" s="8"/>
      <c r="FT677" s="8"/>
      <c r="FU677" s="8"/>
    </row>
    <row r="678" spans="36:177" hidden="1" x14ac:dyDescent="0.2">
      <c r="AJ678" s="8"/>
      <c r="FN678" s="8"/>
      <c r="FO678" s="8"/>
      <c r="FP678" s="8"/>
      <c r="FQ678" s="8"/>
      <c r="FR678" s="8"/>
      <c r="FS678" s="8"/>
      <c r="FT678" s="8"/>
      <c r="FU678" s="8"/>
    </row>
    <row r="679" spans="36:177" hidden="1" x14ac:dyDescent="0.2">
      <c r="AJ679" s="8"/>
      <c r="FN679" s="8"/>
      <c r="FO679" s="8"/>
      <c r="FP679" s="8"/>
      <c r="FQ679" s="8"/>
      <c r="FR679" s="8"/>
      <c r="FS679" s="8"/>
      <c r="FT679" s="8"/>
      <c r="FU679" s="8"/>
    </row>
    <row r="680" spans="36:177" hidden="1" x14ac:dyDescent="0.2">
      <c r="AJ680" s="8"/>
      <c r="FN680" s="8"/>
      <c r="FO680" s="8"/>
      <c r="FP680" s="8"/>
      <c r="FQ680" s="8"/>
      <c r="FR680" s="8"/>
      <c r="FS680" s="8"/>
      <c r="FT680" s="8"/>
      <c r="FU680" s="8"/>
    </row>
    <row r="681" spans="36:177" hidden="1" x14ac:dyDescent="0.2">
      <c r="AJ681" s="8"/>
      <c r="FN681" s="8"/>
      <c r="FO681" s="8"/>
      <c r="FP681" s="8"/>
      <c r="FQ681" s="8"/>
      <c r="FR681" s="8"/>
      <c r="FS681" s="8"/>
      <c r="FT681" s="8"/>
      <c r="FU681" s="8"/>
    </row>
    <row r="682" spans="36:177" hidden="1" x14ac:dyDescent="0.2">
      <c r="AJ682" s="8"/>
      <c r="FN682" s="8"/>
      <c r="FO682" s="8"/>
      <c r="FP682" s="8"/>
      <c r="FQ682" s="8"/>
      <c r="FR682" s="8"/>
      <c r="FS682" s="8"/>
      <c r="FT682" s="8"/>
      <c r="FU682" s="8"/>
    </row>
    <row r="683" spans="36:177" hidden="1" x14ac:dyDescent="0.2">
      <c r="AJ683" s="8"/>
      <c r="FN683" s="8"/>
      <c r="FO683" s="8"/>
      <c r="FP683" s="8"/>
      <c r="FQ683" s="8"/>
      <c r="FR683" s="8"/>
      <c r="FS683" s="8"/>
      <c r="FT683" s="8"/>
      <c r="FU683" s="8"/>
    </row>
    <row r="684" spans="36:177" hidden="1" x14ac:dyDescent="0.2">
      <c r="AJ684" s="8"/>
      <c r="FN684" s="8"/>
      <c r="FO684" s="8"/>
      <c r="FP684" s="8"/>
      <c r="FQ684" s="8"/>
      <c r="FR684" s="8"/>
      <c r="FS684" s="8"/>
      <c r="FT684" s="8"/>
      <c r="FU684" s="8"/>
    </row>
    <row r="685" spans="36:177" hidden="1" x14ac:dyDescent="0.2">
      <c r="AJ685" s="8"/>
      <c r="FN685" s="8"/>
      <c r="FO685" s="8"/>
      <c r="FP685" s="8"/>
      <c r="FQ685" s="8"/>
      <c r="FR685" s="8"/>
      <c r="FS685" s="8"/>
      <c r="FT685" s="8"/>
      <c r="FU685" s="8"/>
    </row>
    <row r="686" spans="36:177" hidden="1" x14ac:dyDescent="0.2">
      <c r="AJ686" s="8"/>
      <c r="FN686" s="8"/>
      <c r="FO686" s="8"/>
      <c r="FP686" s="8"/>
      <c r="FQ686" s="8"/>
      <c r="FR686" s="8"/>
      <c r="FS686" s="8"/>
      <c r="FT686" s="8"/>
      <c r="FU686" s="8"/>
    </row>
    <row r="687" spans="36:177" hidden="1" x14ac:dyDescent="0.2">
      <c r="AJ687" s="8"/>
      <c r="FN687" s="8"/>
      <c r="FO687" s="8"/>
      <c r="FP687" s="8"/>
      <c r="FQ687" s="8"/>
      <c r="FR687" s="8"/>
      <c r="FS687" s="8"/>
      <c r="FT687" s="8"/>
      <c r="FU687" s="8"/>
    </row>
    <row r="688" spans="36:177" hidden="1" x14ac:dyDescent="0.2">
      <c r="AJ688" s="8"/>
      <c r="FN688" s="8"/>
      <c r="FO688" s="8"/>
      <c r="FP688" s="8"/>
      <c r="FQ688" s="8"/>
      <c r="FR688" s="8"/>
      <c r="FS688" s="8"/>
      <c r="FT688" s="8"/>
      <c r="FU688" s="8"/>
    </row>
    <row r="689" spans="36:177" hidden="1" x14ac:dyDescent="0.2">
      <c r="AJ689" s="8"/>
      <c r="FN689" s="8"/>
      <c r="FO689" s="8"/>
      <c r="FP689" s="8"/>
      <c r="FQ689" s="8"/>
      <c r="FR689" s="8"/>
      <c r="FS689" s="8"/>
      <c r="FT689" s="8"/>
      <c r="FU689" s="8"/>
    </row>
    <row r="690" spans="36:177" hidden="1" x14ac:dyDescent="0.2">
      <c r="AJ690" s="8"/>
      <c r="FN690" s="8"/>
      <c r="FO690" s="8"/>
      <c r="FP690" s="8"/>
      <c r="FQ690" s="8"/>
      <c r="FR690" s="8"/>
      <c r="FS690" s="8"/>
      <c r="FT690" s="8"/>
      <c r="FU690" s="8"/>
    </row>
    <row r="691" spans="36:177" hidden="1" x14ac:dyDescent="0.2">
      <c r="AJ691" s="8"/>
      <c r="FN691" s="8"/>
      <c r="FO691" s="8"/>
      <c r="FP691" s="8"/>
      <c r="FQ691" s="8"/>
      <c r="FR691" s="8"/>
      <c r="FS691" s="8"/>
      <c r="FT691" s="8"/>
      <c r="FU691" s="8"/>
    </row>
    <row r="692" spans="36:177" hidden="1" x14ac:dyDescent="0.2">
      <c r="AJ692" s="8"/>
      <c r="FN692" s="8"/>
      <c r="FO692" s="8"/>
      <c r="FP692" s="8"/>
      <c r="FQ692" s="8"/>
      <c r="FR692" s="8"/>
      <c r="FS692" s="8"/>
      <c r="FT692" s="8"/>
      <c r="FU692" s="8"/>
    </row>
    <row r="693" spans="36:177" hidden="1" x14ac:dyDescent="0.2">
      <c r="AJ693" s="8"/>
      <c r="FN693" s="8"/>
      <c r="FO693" s="8"/>
      <c r="FP693" s="8"/>
      <c r="FQ693" s="8"/>
      <c r="FR693" s="8"/>
      <c r="FS693" s="8"/>
      <c r="FT693" s="8"/>
      <c r="FU693" s="8"/>
    </row>
    <row r="694" spans="36:177" hidden="1" x14ac:dyDescent="0.2">
      <c r="AJ694" s="8"/>
      <c r="FN694" s="8"/>
      <c r="FO694" s="8"/>
      <c r="FP694" s="8"/>
      <c r="FQ694" s="8"/>
      <c r="FR694" s="8"/>
      <c r="FS694" s="8"/>
      <c r="FT694" s="8"/>
      <c r="FU694" s="8"/>
    </row>
    <row r="695" spans="36:177" hidden="1" x14ac:dyDescent="0.2">
      <c r="AJ695" s="8"/>
      <c r="FN695" s="8"/>
      <c r="FO695" s="8"/>
      <c r="FP695" s="8"/>
      <c r="FQ695" s="8"/>
      <c r="FR695" s="8"/>
      <c r="FS695" s="8"/>
      <c r="FT695" s="8"/>
      <c r="FU695" s="8"/>
    </row>
    <row r="696" spans="36:177" hidden="1" x14ac:dyDescent="0.2">
      <c r="AJ696" s="8"/>
      <c r="FN696" s="8"/>
      <c r="FO696" s="8"/>
      <c r="FP696" s="8"/>
      <c r="FQ696" s="8"/>
      <c r="FR696" s="8"/>
      <c r="FS696" s="8"/>
      <c r="FT696" s="8"/>
      <c r="FU696" s="8"/>
    </row>
    <row r="697" spans="36:177" hidden="1" x14ac:dyDescent="0.2">
      <c r="AJ697" s="8"/>
      <c r="FN697" s="8"/>
      <c r="FO697" s="8"/>
      <c r="FP697" s="8"/>
      <c r="FQ697" s="8"/>
      <c r="FR697" s="8"/>
      <c r="FS697" s="8"/>
      <c r="FT697" s="8"/>
      <c r="FU697" s="8"/>
    </row>
    <row r="698" spans="36:177" hidden="1" x14ac:dyDescent="0.2">
      <c r="AJ698" s="8"/>
      <c r="FN698" s="8"/>
      <c r="FO698" s="8"/>
      <c r="FP698" s="8"/>
      <c r="FQ698" s="8"/>
      <c r="FR698" s="8"/>
      <c r="FS698" s="8"/>
      <c r="FT698" s="8"/>
      <c r="FU698" s="8"/>
    </row>
    <row r="699" spans="36:177" hidden="1" x14ac:dyDescent="0.2">
      <c r="AJ699" s="8"/>
      <c r="FN699" s="8"/>
      <c r="FO699" s="8"/>
      <c r="FP699" s="8"/>
      <c r="FQ699" s="8"/>
      <c r="FR699" s="8"/>
      <c r="FS699" s="8"/>
      <c r="FT699" s="8"/>
      <c r="FU699" s="8"/>
    </row>
    <row r="700" spans="36:177" hidden="1" x14ac:dyDescent="0.2">
      <c r="AJ700" s="8"/>
      <c r="FN700" s="8"/>
      <c r="FO700" s="8"/>
      <c r="FP700" s="8"/>
      <c r="FQ700" s="8"/>
      <c r="FR700" s="8"/>
      <c r="FS700" s="8"/>
      <c r="FT700" s="8"/>
      <c r="FU700" s="8"/>
    </row>
    <row r="701" spans="36:177" hidden="1" x14ac:dyDescent="0.2">
      <c r="AJ701" s="8"/>
      <c r="FN701" s="8"/>
      <c r="FO701" s="8"/>
      <c r="FP701" s="8"/>
      <c r="FQ701" s="8"/>
      <c r="FR701" s="8"/>
      <c r="FS701" s="8"/>
      <c r="FT701" s="8"/>
      <c r="FU701" s="8"/>
    </row>
    <row r="702" spans="36:177" hidden="1" x14ac:dyDescent="0.2">
      <c r="AJ702" s="8"/>
      <c r="FN702" s="8"/>
      <c r="FO702" s="8"/>
      <c r="FP702" s="8"/>
      <c r="FQ702" s="8"/>
      <c r="FR702" s="8"/>
      <c r="FS702" s="8"/>
      <c r="FT702" s="8"/>
      <c r="FU702" s="8"/>
    </row>
    <row r="703" spans="36:177" hidden="1" x14ac:dyDescent="0.2">
      <c r="AJ703" s="8"/>
      <c r="FN703" s="8"/>
      <c r="FO703" s="8"/>
      <c r="FP703" s="8"/>
      <c r="FQ703" s="8"/>
      <c r="FR703" s="8"/>
      <c r="FS703" s="8"/>
      <c r="FT703" s="8"/>
      <c r="FU703" s="8"/>
    </row>
    <row r="704" spans="36:177" hidden="1" x14ac:dyDescent="0.2">
      <c r="AJ704" s="8"/>
      <c r="FN704" s="8"/>
      <c r="FO704" s="8"/>
      <c r="FP704" s="8"/>
      <c r="FQ704" s="8"/>
      <c r="FR704" s="8"/>
      <c r="FS704" s="8"/>
      <c r="FT704" s="8"/>
      <c r="FU704" s="8"/>
    </row>
    <row r="705" spans="36:177" hidden="1" x14ac:dyDescent="0.2">
      <c r="AJ705" s="8"/>
      <c r="FN705" s="8"/>
      <c r="FO705" s="8"/>
      <c r="FP705" s="8"/>
      <c r="FQ705" s="8"/>
      <c r="FR705" s="8"/>
      <c r="FS705" s="8"/>
      <c r="FT705" s="8"/>
      <c r="FU705" s="8"/>
    </row>
    <row r="706" spans="36:177" hidden="1" x14ac:dyDescent="0.2">
      <c r="AJ706" s="8"/>
      <c r="FN706" s="8"/>
      <c r="FO706" s="8"/>
      <c r="FP706" s="8"/>
      <c r="FQ706" s="8"/>
      <c r="FR706" s="8"/>
      <c r="FS706" s="8"/>
      <c r="FT706" s="8"/>
      <c r="FU706" s="8"/>
    </row>
    <row r="707" spans="36:177" hidden="1" x14ac:dyDescent="0.2">
      <c r="AJ707" s="8"/>
      <c r="FN707" s="8"/>
      <c r="FO707" s="8"/>
      <c r="FP707" s="8"/>
      <c r="FQ707" s="8"/>
      <c r="FR707" s="8"/>
      <c r="FS707" s="8"/>
      <c r="FT707" s="8"/>
      <c r="FU707" s="8"/>
    </row>
    <row r="708" spans="36:177" hidden="1" x14ac:dyDescent="0.2">
      <c r="AJ708" s="8"/>
      <c r="FN708" s="8"/>
      <c r="FO708" s="8"/>
      <c r="FP708" s="8"/>
      <c r="FQ708" s="8"/>
      <c r="FR708" s="8"/>
      <c r="FS708" s="8"/>
      <c r="FT708" s="8"/>
      <c r="FU708" s="8"/>
    </row>
    <row r="709" spans="36:177" hidden="1" x14ac:dyDescent="0.2">
      <c r="AJ709" s="8"/>
      <c r="FN709" s="8"/>
      <c r="FO709" s="8"/>
      <c r="FP709" s="8"/>
      <c r="FQ709" s="8"/>
      <c r="FR709" s="8"/>
      <c r="FS709" s="8"/>
      <c r="FT709" s="8"/>
      <c r="FU709" s="8"/>
    </row>
    <row r="710" spans="36:177" hidden="1" x14ac:dyDescent="0.2">
      <c r="AJ710" s="8"/>
      <c r="FN710" s="8"/>
      <c r="FO710" s="8"/>
      <c r="FP710" s="8"/>
      <c r="FQ710" s="8"/>
      <c r="FR710" s="8"/>
      <c r="FS710" s="8"/>
      <c r="FT710" s="8"/>
      <c r="FU710" s="8"/>
    </row>
    <row r="711" spans="36:177" hidden="1" x14ac:dyDescent="0.2">
      <c r="AJ711" s="8"/>
      <c r="FN711" s="8"/>
      <c r="FO711" s="8"/>
      <c r="FP711" s="8"/>
      <c r="FQ711" s="8"/>
      <c r="FR711" s="8"/>
      <c r="FS711" s="8"/>
      <c r="FT711" s="8"/>
      <c r="FU711" s="8"/>
    </row>
    <row r="712" spans="36:177" hidden="1" x14ac:dyDescent="0.2">
      <c r="AJ712" s="8"/>
      <c r="FN712" s="8"/>
      <c r="FO712" s="8"/>
      <c r="FP712" s="8"/>
      <c r="FQ712" s="8"/>
      <c r="FR712" s="8"/>
      <c r="FS712" s="8"/>
      <c r="FT712" s="8"/>
      <c r="FU712" s="8"/>
    </row>
    <row r="713" spans="36:177" hidden="1" x14ac:dyDescent="0.2">
      <c r="AJ713" s="8"/>
      <c r="FN713" s="8"/>
      <c r="FO713" s="8"/>
      <c r="FP713" s="8"/>
      <c r="FQ713" s="8"/>
      <c r="FR713" s="8"/>
      <c r="FS713" s="8"/>
      <c r="FT713" s="8"/>
      <c r="FU713" s="8"/>
    </row>
    <row r="714" spans="36:177" hidden="1" x14ac:dyDescent="0.2">
      <c r="AJ714" s="8"/>
      <c r="FN714" s="8"/>
      <c r="FO714" s="8"/>
      <c r="FP714" s="8"/>
      <c r="FQ714" s="8"/>
      <c r="FR714" s="8"/>
      <c r="FS714" s="8"/>
      <c r="FT714" s="8"/>
      <c r="FU714" s="8"/>
    </row>
    <row r="715" spans="36:177" hidden="1" x14ac:dyDescent="0.2">
      <c r="AJ715" s="8"/>
      <c r="FN715" s="8"/>
      <c r="FO715" s="8"/>
      <c r="FP715" s="8"/>
      <c r="FQ715" s="8"/>
      <c r="FR715" s="8"/>
      <c r="FS715" s="8"/>
      <c r="FT715" s="8"/>
      <c r="FU715" s="8"/>
    </row>
    <row r="716" spans="36:177" hidden="1" x14ac:dyDescent="0.2">
      <c r="AJ716" s="8"/>
      <c r="FN716" s="8"/>
      <c r="FO716" s="8"/>
      <c r="FP716" s="8"/>
      <c r="FQ716" s="8"/>
      <c r="FR716" s="8"/>
      <c r="FS716" s="8"/>
      <c r="FT716" s="8"/>
      <c r="FU716" s="8"/>
    </row>
    <row r="717" spans="36:177" hidden="1" x14ac:dyDescent="0.2">
      <c r="AJ717" s="8"/>
      <c r="FN717" s="8"/>
      <c r="FO717" s="8"/>
      <c r="FP717" s="8"/>
      <c r="FQ717" s="8"/>
      <c r="FR717" s="8"/>
      <c r="FS717" s="8"/>
      <c r="FT717" s="8"/>
      <c r="FU717" s="8"/>
    </row>
    <row r="718" spans="36:177" hidden="1" x14ac:dyDescent="0.2">
      <c r="AJ718" s="8"/>
      <c r="FN718" s="8"/>
      <c r="FO718" s="8"/>
      <c r="FP718" s="8"/>
      <c r="FQ718" s="8"/>
      <c r="FR718" s="8"/>
      <c r="FS718" s="8"/>
      <c r="FT718" s="8"/>
      <c r="FU718" s="8"/>
    </row>
    <row r="719" spans="36:177" hidden="1" x14ac:dyDescent="0.2">
      <c r="AJ719" s="8"/>
      <c r="FN719" s="8"/>
      <c r="FO719" s="8"/>
      <c r="FP719" s="8"/>
      <c r="FQ719" s="8"/>
      <c r="FR719" s="8"/>
      <c r="FS719" s="8"/>
      <c r="FT719" s="8"/>
      <c r="FU719" s="8"/>
    </row>
    <row r="720" spans="36:177" hidden="1" x14ac:dyDescent="0.2">
      <c r="AJ720" s="8"/>
      <c r="FN720" s="8"/>
      <c r="FO720" s="8"/>
      <c r="FP720" s="8"/>
      <c r="FQ720" s="8"/>
      <c r="FR720" s="8"/>
      <c r="FS720" s="8"/>
      <c r="FT720" s="8"/>
      <c r="FU720" s="8"/>
    </row>
    <row r="721" spans="36:177" hidden="1" x14ac:dyDescent="0.2">
      <c r="AJ721" s="8"/>
      <c r="FN721" s="8"/>
      <c r="FO721" s="8"/>
      <c r="FP721" s="8"/>
      <c r="FQ721" s="8"/>
      <c r="FR721" s="8"/>
      <c r="FS721" s="8"/>
      <c r="FT721" s="8"/>
      <c r="FU721" s="8"/>
    </row>
    <row r="722" spans="36:177" hidden="1" x14ac:dyDescent="0.2">
      <c r="AJ722" s="8"/>
      <c r="FN722" s="8"/>
      <c r="FO722" s="8"/>
      <c r="FP722" s="8"/>
      <c r="FQ722" s="8"/>
      <c r="FR722" s="8"/>
      <c r="FS722" s="8"/>
      <c r="FT722" s="8"/>
      <c r="FU722" s="8"/>
    </row>
    <row r="723" spans="36:177" hidden="1" x14ac:dyDescent="0.2">
      <c r="AJ723" s="8"/>
      <c r="FN723" s="8"/>
      <c r="FO723" s="8"/>
      <c r="FP723" s="8"/>
      <c r="FQ723" s="8"/>
      <c r="FR723" s="8"/>
      <c r="FS723" s="8"/>
      <c r="FT723" s="8"/>
      <c r="FU723" s="8"/>
    </row>
    <row r="724" spans="36:177" hidden="1" x14ac:dyDescent="0.2">
      <c r="AJ724" s="8"/>
      <c r="FN724" s="8"/>
      <c r="FO724" s="8"/>
      <c r="FP724" s="8"/>
      <c r="FQ724" s="8"/>
      <c r="FR724" s="8"/>
      <c r="FS724" s="8"/>
      <c r="FT724" s="8"/>
      <c r="FU724" s="8"/>
    </row>
    <row r="725" spans="36:177" hidden="1" x14ac:dyDescent="0.2">
      <c r="AJ725" s="8"/>
      <c r="FN725" s="8"/>
      <c r="FO725" s="8"/>
      <c r="FP725" s="8"/>
      <c r="FQ725" s="8"/>
      <c r="FR725" s="8"/>
      <c r="FS725" s="8"/>
      <c r="FT725" s="8"/>
      <c r="FU725" s="8"/>
    </row>
    <row r="726" spans="36:177" hidden="1" x14ac:dyDescent="0.2">
      <c r="AJ726" s="8"/>
      <c r="FN726" s="8"/>
      <c r="FO726" s="8"/>
      <c r="FP726" s="8"/>
      <c r="FQ726" s="8"/>
      <c r="FR726" s="8"/>
      <c r="FS726" s="8"/>
      <c r="FT726" s="8"/>
      <c r="FU726" s="8"/>
    </row>
    <row r="727" spans="36:177" hidden="1" x14ac:dyDescent="0.2">
      <c r="AJ727" s="8"/>
      <c r="FN727" s="8"/>
      <c r="FO727" s="8"/>
      <c r="FP727" s="8"/>
      <c r="FQ727" s="8"/>
      <c r="FR727" s="8"/>
      <c r="FS727" s="8"/>
      <c r="FT727" s="8"/>
      <c r="FU727" s="8"/>
    </row>
    <row r="728" spans="36:177" hidden="1" x14ac:dyDescent="0.2">
      <c r="AJ728" s="8"/>
      <c r="FN728" s="8"/>
      <c r="FO728" s="8"/>
      <c r="FP728" s="8"/>
      <c r="FQ728" s="8"/>
      <c r="FR728" s="8"/>
      <c r="FS728" s="8"/>
      <c r="FT728" s="8"/>
      <c r="FU728" s="8"/>
    </row>
    <row r="729" spans="36:177" hidden="1" x14ac:dyDescent="0.2">
      <c r="AJ729" s="8"/>
      <c r="FN729" s="8"/>
      <c r="FO729" s="8"/>
      <c r="FP729" s="8"/>
      <c r="FQ729" s="8"/>
      <c r="FR729" s="8"/>
      <c r="FS729" s="8"/>
      <c r="FT729" s="8"/>
      <c r="FU729" s="8"/>
    </row>
    <row r="730" spans="36:177" hidden="1" x14ac:dyDescent="0.2">
      <c r="AJ730" s="8"/>
      <c r="FN730" s="8"/>
      <c r="FO730" s="8"/>
      <c r="FP730" s="8"/>
      <c r="FQ730" s="8"/>
      <c r="FR730" s="8"/>
      <c r="FS730" s="8"/>
      <c r="FT730" s="8"/>
      <c r="FU730" s="8"/>
    </row>
    <row r="731" spans="36:177" hidden="1" x14ac:dyDescent="0.2">
      <c r="AJ731" s="8"/>
      <c r="FN731" s="8"/>
      <c r="FO731" s="8"/>
      <c r="FP731" s="8"/>
      <c r="FQ731" s="8"/>
      <c r="FR731" s="8"/>
      <c r="FS731" s="8"/>
      <c r="FT731" s="8"/>
      <c r="FU731" s="8"/>
    </row>
    <row r="732" spans="36:177" hidden="1" x14ac:dyDescent="0.2">
      <c r="AJ732" s="8"/>
      <c r="FN732" s="8"/>
      <c r="FO732" s="8"/>
      <c r="FP732" s="8"/>
      <c r="FQ732" s="8"/>
      <c r="FR732" s="8"/>
      <c r="FS732" s="8"/>
      <c r="FT732" s="8"/>
      <c r="FU732" s="8"/>
    </row>
    <row r="733" spans="36:177" hidden="1" x14ac:dyDescent="0.2">
      <c r="AJ733" s="8"/>
      <c r="FN733" s="8"/>
      <c r="FO733" s="8"/>
      <c r="FP733" s="8"/>
      <c r="FQ733" s="8"/>
      <c r="FR733" s="8"/>
      <c r="FS733" s="8"/>
      <c r="FT733" s="8"/>
      <c r="FU733" s="8"/>
    </row>
    <row r="734" spans="36:177" hidden="1" x14ac:dyDescent="0.2">
      <c r="AJ734" s="8"/>
      <c r="FN734" s="8"/>
      <c r="FO734" s="8"/>
      <c r="FP734" s="8"/>
      <c r="FQ734" s="8"/>
      <c r="FR734" s="8"/>
      <c r="FS734" s="8"/>
      <c r="FT734" s="8"/>
      <c r="FU734" s="8"/>
    </row>
    <row r="735" spans="36:177" hidden="1" x14ac:dyDescent="0.2">
      <c r="AJ735" s="8"/>
      <c r="FN735" s="8"/>
      <c r="FO735" s="8"/>
      <c r="FP735" s="8"/>
      <c r="FQ735" s="8"/>
      <c r="FR735" s="8"/>
      <c r="FS735" s="8"/>
      <c r="FT735" s="8"/>
      <c r="FU735" s="8"/>
    </row>
    <row r="736" spans="36:177" hidden="1" x14ac:dyDescent="0.2">
      <c r="AJ736" s="8"/>
      <c r="FN736" s="8"/>
      <c r="FO736" s="8"/>
      <c r="FP736" s="8"/>
      <c r="FQ736" s="8"/>
      <c r="FR736" s="8"/>
      <c r="FS736" s="8"/>
      <c r="FT736" s="8"/>
      <c r="FU736" s="8"/>
    </row>
    <row r="737" spans="36:177" hidden="1" x14ac:dyDescent="0.2">
      <c r="AJ737" s="8"/>
      <c r="FN737" s="8"/>
      <c r="FO737" s="8"/>
      <c r="FP737" s="8"/>
      <c r="FQ737" s="8"/>
      <c r="FR737" s="8"/>
      <c r="FS737" s="8"/>
      <c r="FT737" s="8"/>
      <c r="FU737" s="8"/>
    </row>
    <row r="738" spans="36:177" hidden="1" x14ac:dyDescent="0.2">
      <c r="AJ738" s="8"/>
      <c r="FN738" s="8"/>
      <c r="FO738" s="8"/>
      <c r="FP738" s="8"/>
      <c r="FQ738" s="8"/>
      <c r="FR738" s="8"/>
      <c r="FS738" s="8"/>
      <c r="FT738" s="8"/>
      <c r="FU738" s="8"/>
    </row>
    <row r="739" spans="36:177" hidden="1" x14ac:dyDescent="0.2">
      <c r="AJ739" s="8"/>
      <c r="FN739" s="8"/>
      <c r="FO739" s="8"/>
      <c r="FP739" s="8"/>
      <c r="FQ739" s="8"/>
      <c r="FR739" s="8"/>
      <c r="FS739" s="8"/>
      <c r="FT739" s="8"/>
      <c r="FU739" s="8"/>
    </row>
    <row r="740" spans="36:177" hidden="1" x14ac:dyDescent="0.2">
      <c r="AJ740" s="8"/>
      <c r="FN740" s="8"/>
      <c r="FO740" s="8"/>
      <c r="FP740" s="8"/>
      <c r="FQ740" s="8"/>
      <c r="FR740" s="8"/>
      <c r="FS740" s="8"/>
      <c r="FT740" s="8"/>
      <c r="FU740" s="8"/>
    </row>
    <row r="741" spans="36:177" hidden="1" x14ac:dyDescent="0.2">
      <c r="AJ741" s="8"/>
      <c r="FN741" s="8"/>
      <c r="FO741" s="8"/>
      <c r="FP741" s="8"/>
      <c r="FQ741" s="8"/>
      <c r="FR741" s="8"/>
      <c r="FS741" s="8"/>
      <c r="FT741" s="8"/>
      <c r="FU741" s="8"/>
    </row>
    <row r="742" spans="36:177" hidden="1" x14ac:dyDescent="0.2">
      <c r="AJ742" s="8"/>
      <c r="FN742" s="8"/>
      <c r="FO742" s="8"/>
      <c r="FP742" s="8"/>
      <c r="FQ742" s="8"/>
      <c r="FR742" s="8"/>
      <c r="FS742" s="8"/>
      <c r="FT742" s="8"/>
      <c r="FU742" s="8"/>
    </row>
    <row r="743" spans="36:177" hidden="1" x14ac:dyDescent="0.2">
      <c r="AJ743" s="8"/>
      <c r="FN743" s="8"/>
      <c r="FO743" s="8"/>
      <c r="FP743" s="8"/>
      <c r="FQ743" s="8"/>
      <c r="FR743" s="8"/>
      <c r="FS743" s="8"/>
      <c r="FT743" s="8"/>
      <c r="FU743" s="8"/>
    </row>
    <row r="744" spans="36:177" hidden="1" x14ac:dyDescent="0.2">
      <c r="AJ744" s="8"/>
      <c r="FN744" s="8"/>
      <c r="FO744" s="8"/>
      <c r="FP744" s="8"/>
      <c r="FQ744" s="8"/>
      <c r="FR744" s="8"/>
      <c r="FS744" s="8"/>
      <c r="FT744" s="8"/>
      <c r="FU744" s="8"/>
    </row>
    <row r="745" spans="36:177" hidden="1" x14ac:dyDescent="0.2">
      <c r="AJ745" s="8"/>
      <c r="FN745" s="8"/>
      <c r="FO745" s="8"/>
      <c r="FP745" s="8"/>
      <c r="FQ745" s="8"/>
      <c r="FR745" s="8"/>
      <c r="FS745" s="8"/>
      <c r="FT745" s="8"/>
      <c r="FU745" s="8"/>
    </row>
    <row r="746" spans="36:177" hidden="1" x14ac:dyDescent="0.2">
      <c r="AJ746" s="8"/>
      <c r="FN746" s="8"/>
      <c r="FO746" s="8"/>
      <c r="FP746" s="8"/>
      <c r="FQ746" s="8"/>
      <c r="FR746" s="8"/>
      <c r="FS746" s="8"/>
      <c r="FT746" s="8"/>
      <c r="FU746" s="8"/>
    </row>
    <row r="747" spans="36:177" hidden="1" x14ac:dyDescent="0.2">
      <c r="AJ747" s="8"/>
      <c r="FN747" s="8"/>
      <c r="FO747" s="8"/>
      <c r="FP747" s="8"/>
      <c r="FQ747" s="8"/>
      <c r="FR747" s="8"/>
      <c r="FS747" s="8"/>
      <c r="FT747" s="8"/>
      <c r="FU747" s="8"/>
    </row>
    <row r="748" spans="36:177" hidden="1" x14ac:dyDescent="0.2">
      <c r="AJ748" s="8"/>
      <c r="FN748" s="8"/>
      <c r="FO748" s="8"/>
      <c r="FP748" s="8"/>
      <c r="FQ748" s="8"/>
      <c r="FR748" s="8"/>
      <c r="FS748" s="8"/>
      <c r="FT748" s="8"/>
      <c r="FU748" s="8"/>
    </row>
    <row r="749" spans="36:177" hidden="1" x14ac:dyDescent="0.2">
      <c r="AJ749" s="8"/>
      <c r="FN749" s="8"/>
      <c r="FO749" s="8"/>
      <c r="FP749" s="8"/>
      <c r="FQ749" s="8"/>
      <c r="FR749" s="8"/>
      <c r="FS749" s="8"/>
      <c r="FT749" s="8"/>
      <c r="FU749" s="8"/>
    </row>
    <row r="750" spans="36:177" hidden="1" x14ac:dyDescent="0.2">
      <c r="AJ750" s="8"/>
      <c r="FN750" s="8"/>
      <c r="FO750" s="8"/>
      <c r="FP750" s="8"/>
      <c r="FQ750" s="8"/>
      <c r="FR750" s="8"/>
      <c r="FS750" s="8"/>
      <c r="FT750" s="8"/>
      <c r="FU750" s="8"/>
    </row>
    <row r="751" spans="36:177" hidden="1" x14ac:dyDescent="0.2">
      <c r="AJ751" s="8"/>
      <c r="FN751" s="8"/>
      <c r="FO751" s="8"/>
      <c r="FP751" s="8"/>
      <c r="FQ751" s="8"/>
      <c r="FR751" s="8"/>
      <c r="FS751" s="8"/>
      <c r="FT751" s="8"/>
      <c r="FU751" s="8"/>
    </row>
    <row r="752" spans="36:177" hidden="1" x14ac:dyDescent="0.2">
      <c r="AJ752" s="8"/>
      <c r="FN752" s="8"/>
      <c r="FO752" s="8"/>
      <c r="FP752" s="8"/>
      <c r="FQ752" s="8"/>
      <c r="FR752" s="8"/>
      <c r="FS752" s="8"/>
      <c r="FT752" s="8"/>
      <c r="FU752" s="8"/>
    </row>
    <row r="753" spans="36:177" hidden="1" x14ac:dyDescent="0.2">
      <c r="AJ753" s="8"/>
      <c r="FN753" s="8"/>
      <c r="FO753" s="8"/>
      <c r="FP753" s="8"/>
      <c r="FQ753" s="8"/>
      <c r="FR753" s="8"/>
      <c r="FS753" s="8"/>
      <c r="FT753" s="8"/>
      <c r="FU753" s="8"/>
    </row>
    <row r="754" spans="36:177" hidden="1" x14ac:dyDescent="0.2">
      <c r="FN754" s="8"/>
      <c r="FO754" s="8"/>
      <c r="FP754" s="8"/>
      <c r="FQ754" s="8"/>
      <c r="FR754" s="8"/>
      <c r="FS754" s="8"/>
      <c r="FT754" s="8"/>
      <c r="FU754" s="8"/>
    </row>
    <row r="755" spans="36:177" hidden="1" x14ac:dyDescent="0.2"/>
    <row r="756" spans="36:177" hidden="1" x14ac:dyDescent="0.2"/>
    <row r="757" spans="36:177" hidden="1" x14ac:dyDescent="0.2"/>
    <row r="758" spans="36:177" hidden="1" x14ac:dyDescent="0.2"/>
    <row r="759" spans="36:177" hidden="1" x14ac:dyDescent="0.2">
      <c r="AJ759" s="8"/>
    </row>
    <row r="760" spans="36:177" hidden="1" x14ac:dyDescent="0.2">
      <c r="AJ760" s="8"/>
    </row>
    <row r="761" spans="36:177" hidden="1" x14ac:dyDescent="0.2">
      <c r="AJ761" s="8"/>
    </row>
    <row r="762" spans="36:177" hidden="1" x14ac:dyDescent="0.2">
      <c r="AJ762" s="8"/>
    </row>
    <row r="763" spans="36:177" hidden="1" x14ac:dyDescent="0.2">
      <c r="AJ763" s="8"/>
    </row>
    <row r="764" spans="36:177" hidden="1" x14ac:dyDescent="0.2">
      <c r="AJ764" s="8"/>
    </row>
  </sheetData>
  <sheetProtection password="FFBD" sheet="1" objects="1" scenarios="1"/>
  <dataConsolidate/>
  <mergeCells count="237">
    <mergeCell ref="W117:X117"/>
    <mergeCell ref="W116:X116"/>
    <mergeCell ref="W115:X115"/>
    <mergeCell ref="W122:X122"/>
    <mergeCell ref="W121:X121"/>
    <mergeCell ref="W120:X120"/>
    <mergeCell ref="W119:X119"/>
    <mergeCell ref="W118:X118"/>
    <mergeCell ref="W127:X127"/>
    <mergeCell ref="W126:X126"/>
    <mergeCell ref="W125:X125"/>
    <mergeCell ref="W124:X124"/>
    <mergeCell ref="W123:X123"/>
    <mergeCell ref="W132:X132"/>
    <mergeCell ref="W131:X131"/>
    <mergeCell ref="W130:X130"/>
    <mergeCell ref="W129:X129"/>
    <mergeCell ref="W128:X128"/>
    <mergeCell ref="W137:X137"/>
    <mergeCell ref="W136:X136"/>
    <mergeCell ref="W135:X135"/>
    <mergeCell ref="W134:X134"/>
    <mergeCell ref="W133:X133"/>
    <mergeCell ref="W141:X141"/>
    <mergeCell ref="W140:X140"/>
    <mergeCell ref="W139:X139"/>
    <mergeCell ref="W138:X138"/>
    <mergeCell ref="W152:X152"/>
    <mergeCell ref="W153:X153"/>
    <mergeCell ref="W168:X168"/>
    <mergeCell ref="W167:X167"/>
    <mergeCell ref="W166:X166"/>
    <mergeCell ref="W165:X165"/>
    <mergeCell ref="W164:X164"/>
    <mergeCell ref="W163:X163"/>
    <mergeCell ref="W162:X162"/>
    <mergeCell ref="W161:X161"/>
    <mergeCell ref="W160:X160"/>
    <mergeCell ref="W159:X159"/>
    <mergeCell ref="W158:X158"/>
    <mergeCell ref="W157:X157"/>
    <mergeCell ref="W156:X156"/>
    <mergeCell ref="W155:X155"/>
    <mergeCell ref="W147:X147"/>
    <mergeCell ref="W148:X148"/>
    <mergeCell ref="W149:X149"/>
    <mergeCell ref="W150:X150"/>
    <mergeCell ref="W151:X151"/>
    <mergeCell ref="W142:X142"/>
    <mergeCell ref="W143:X143"/>
    <mergeCell ref="W144:X144"/>
    <mergeCell ref="W145:X145"/>
    <mergeCell ref="W146:X146"/>
    <mergeCell ref="W173:X173"/>
    <mergeCell ref="W172:X172"/>
    <mergeCell ref="W171:X171"/>
    <mergeCell ref="W170:X170"/>
    <mergeCell ref="W169:X169"/>
    <mergeCell ref="W154:X154"/>
    <mergeCell ref="W178:X178"/>
    <mergeCell ref="W177:X177"/>
    <mergeCell ref="W176:X176"/>
    <mergeCell ref="W175:X175"/>
    <mergeCell ref="W174:X174"/>
    <mergeCell ref="W183:X183"/>
    <mergeCell ref="W182:X182"/>
    <mergeCell ref="W181:X181"/>
    <mergeCell ref="W180:X180"/>
    <mergeCell ref="W179:X179"/>
    <mergeCell ref="W188:X188"/>
    <mergeCell ref="W187:X187"/>
    <mergeCell ref="W186:X186"/>
    <mergeCell ref="W185:X185"/>
    <mergeCell ref="W184:X184"/>
    <mergeCell ref="W193:X193"/>
    <mergeCell ref="W192:X192"/>
    <mergeCell ref="W191:X191"/>
    <mergeCell ref="W190:X190"/>
    <mergeCell ref="W189:X189"/>
    <mergeCell ref="W197:X197"/>
    <mergeCell ref="W196:X196"/>
    <mergeCell ref="W195:X195"/>
    <mergeCell ref="W194:X194"/>
    <mergeCell ref="W203:X203"/>
    <mergeCell ref="W202:X202"/>
    <mergeCell ref="W201:X201"/>
    <mergeCell ref="W200:X200"/>
    <mergeCell ref="W199:X199"/>
    <mergeCell ref="W206:X206"/>
    <mergeCell ref="W205:X205"/>
    <mergeCell ref="W204:X204"/>
    <mergeCell ref="W213:X213"/>
    <mergeCell ref="W212:X212"/>
    <mergeCell ref="W211:X211"/>
    <mergeCell ref="W210:X210"/>
    <mergeCell ref="W209:X209"/>
    <mergeCell ref="W198:X198"/>
    <mergeCell ref="W215:X215"/>
    <mergeCell ref="W214:X214"/>
    <mergeCell ref="W223:X223"/>
    <mergeCell ref="W222:X222"/>
    <mergeCell ref="W221:X221"/>
    <mergeCell ref="W220:X220"/>
    <mergeCell ref="W219:X219"/>
    <mergeCell ref="W208:X208"/>
    <mergeCell ref="W207:X207"/>
    <mergeCell ref="W224:X224"/>
    <mergeCell ref="W233:X233"/>
    <mergeCell ref="W232:X232"/>
    <mergeCell ref="W231:X231"/>
    <mergeCell ref="W230:X230"/>
    <mergeCell ref="W229:X229"/>
    <mergeCell ref="W218:X218"/>
    <mergeCell ref="W217:X217"/>
    <mergeCell ref="W216:X216"/>
    <mergeCell ref="W248:X248"/>
    <mergeCell ref="W247:X247"/>
    <mergeCell ref="W246:X246"/>
    <mergeCell ref="W245:X245"/>
    <mergeCell ref="W244:X244"/>
    <mergeCell ref="W110:X110"/>
    <mergeCell ref="W111:X111"/>
    <mergeCell ref="W112:X112"/>
    <mergeCell ref="W113:X113"/>
    <mergeCell ref="W114:X114"/>
    <mergeCell ref="W238:X238"/>
    <mergeCell ref="W237:X237"/>
    <mergeCell ref="W236:X236"/>
    <mergeCell ref="W235:X235"/>
    <mergeCell ref="W234:X234"/>
    <mergeCell ref="W243:X243"/>
    <mergeCell ref="W242:X242"/>
    <mergeCell ref="W241:X241"/>
    <mergeCell ref="W240:X240"/>
    <mergeCell ref="W239:X239"/>
    <mergeCell ref="W228:X228"/>
    <mergeCell ref="W227:X227"/>
    <mergeCell ref="W226:X226"/>
    <mergeCell ref="W225:X225"/>
    <mergeCell ref="W105:X105"/>
    <mergeCell ref="W106:X106"/>
    <mergeCell ref="W107:X107"/>
    <mergeCell ref="W108:X108"/>
    <mergeCell ref="W109:X109"/>
    <mergeCell ref="W100:X100"/>
    <mergeCell ref="W101:X101"/>
    <mergeCell ref="W102:X102"/>
    <mergeCell ref="W103:X103"/>
    <mergeCell ref="W104:X104"/>
    <mergeCell ref="W95:X95"/>
    <mergeCell ref="W96:X96"/>
    <mergeCell ref="W97:X97"/>
    <mergeCell ref="W98:X98"/>
    <mergeCell ref="W99:X99"/>
    <mergeCell ref="W90:X90"/>
    <mergeCell ref="W91:X91"/>
    <mergeCell ref="W92:X92"/>
    <mergeCell ref="W93:X93"/>
    <mergeCell ref="W94:X94"/>
    <mergeCell ref="W85:X85"/>
    <mergeCell ref="W86:X86"/>
    <mergeCell ref="W87:X87"/>
    <mergeCell ref="W88:X88"/>
    <mergeCell ref="W89:X89"/>
    <mergeCell ref="W80:X80"/>
    <mergeCell ref="W81:X81"/>
    <mergeCell ref="W82:X82"/>
    <mergeCell ref="W83:X83"/>
    <mergeCell ref="W84:X84"/>
    <mergeCell ref="W75:X75"/>
    <mergeCell ref="W76:X76"/>
    <mergeCell ref="W77:X77"/>
    <mergeCell ref="W78:X78"/>
    <mergeCell ref="W79:X79"/>
    <mergeCell ref="W70:X70"/>
    <mergeCell ref="W71:X71"/>
    <mergeCell ref="W72:X72"/>
    <mergeCell ref="W73:X73"/>
    <mergeCell ref="W74:X74"/>
    <mergeCell ref="W68:X68"/>
    <mergeCell ref="W69:X69"/>
    <mergeCell ref="J65:V65"/>
    <mergeCell ref="W65:Y65"/>
    <mergeCell ref="W66:X66"/>
    <mergeCell ref="CD4:CF4"/>
    <mergeCell ref="EC3:EO3"/>
    <mergeCell ref="DG4:DI4"/>
    <mergeCell ref="EC4:EE4"/>
    <mergeCell ref="EF4:EH4"/>
    <mergeCell ref="EI4:EK4"/>
    <mergeCell ref="DM3:DZ3"/>
    <mergeCell ref="DM4:DO4"/>
    <mergeCell ref="CJ4:CL4"/>
    <mergeCell ref="DX4:DZ4"/>
    <mergeCell ref="CP4:CR4"/>
    <mergeCell ref="EL4:EN4"/>
    <mergeCell ref="CS4:CU4"/>
    <mergeCell ref="CV4:CX4"/>
    <mergeCell ref="DP4:DW4"/>
    <mergeCell ref="CY4:DA4"/>
    <mergeCell ref="B4:Y4"/>
    <mergeCell ref="B11:B24"/>
    <mergeCell ref="F66:G66"/>
    <mergeCell ref="GC3:GE3"/>
    <mergeCell ref="EQ4:ER4"/>
    <mergeCell ref="ES4:ET4"/>
    <mergeCell ref="FB3:FI3"/>
    <mergeCell ref="FN4:FQ4"/>
    <mergeCell ref="EU4:EV4"/>
    <mergeCell ref="EW4:EX4"/>
    <mergeCell ref="FF4:FG4"/>
    <mergeCell ref="FB4:FC4"/>
    <mergeCell ref="FD4:FE4"/>
    <mergeCell ref="FH4:FI4"/>
    <mergeCell ref="EQ3:EZ3"/>
    <mergeCell ref="O26:Y26"/>
    <mergeCell ref="C65:I65"/>
    <mergeCell ref="H66:I66"/>
    <mergeCell ref="K66:L66"/>
    <mergeCell ref="M66:N66"/>
    <mergeCell ref="U66:V66"/>
    <mergeCell ref="AR4:AU4"/>
    <mergeCell ref="AV4:AY4"/>
    <mergeCell ref="CM4:CO4"/>
    <mergeCell ref="AL4:AO4"/>
    <mergeCell ref="AH4:AK4"/>
    <mergeCell ref="AD4:AG4"/>
    <mergeCell ref="BX4:BZ4"/>
    <mergeCell ref="BJ4:BK4"/>
    <mergeCell ref="BL4:BN4"/>
    <mergeCell ref="BO4:BQ4"/>
    <mergeCell ref="BR4:BT4"/>
    <mergeCell ref="BU4:BW4"/>
    <mergeCell ref="BE4:BF4"/>
    <mergeCell ref="BG4:BI4"/>
    <mergeCell ref="CG4:CI4"/>
    <mergeCell ref="CA4:CC4"/>
  </mergeCells>
  <conditionalFormatting sqref="B28:B59">
    <cfRule type="expression" dxfId="7" priority="7">
      <formula>IF(ROW()&lt;=28+$A$28,1,0)</formula>
    </cfRule>
  </conditionalFormatting>
  <conditionalFormatting sqref="C28:Y59">
    <cfRule type="expression" dxfId="6" priority="9">
      <formula>IF(AND(ROW()&lt;=27+$A$28,MOD(ROW(),2)=1),1,0)</formula>
    </cfRule>
    <cfRule type="expression" dxfId="5" priority="11">
      <formula>IF(ROW()=28+$A$28,1,0)</formula>
    </cfRule>
  </conditionalFormatting>
  <conditionalFormatting sqref="Z26:Z57">
    <cfRule type="expression" dxfId="4" priority="13">
      <formula>IF(ROW()&lt;=28+$A$28,1,0)</formula>
    </cfRule>
  </conditionalFormatting>
  <conditionalFormatting sqref="B68:B248">
    <cfRule type="expression" dxfId="3" priority="14">
      <formula>IF(ROW()&lt;=68+$FW$23,1,0)</formula>
    </cfRule>
  </conditionalFormatting>
  <conditionalFormatting sqref="Z68:Z248">
    <cfRule type="expression" dxfId="2" priority="15">
      <formula>IF(ROW()&lt;=68+$FW$23,1,0)</formula>
    </cfRule>
  </conditionalFormatting>
  <conditionalFormatting sqref="C68:Y248">
    <cfRule type="expression" dxfId="1" priority="16">
      <formula>IF(ROW()=68+$FW$23,1,0)</formula>
    </cfRule>
    <cfRule type="expression" dxfId="0" priority="17">
      <formula>IF(AND(ROW()&lt;=67+$FW$23,MOD(ROW(),2)=1),1,0)</formula>
    </cfRule>
  </conditionalFormatting>
  <dataValidations count="10">
    <dataValidation type="whole" errorStyle="information" allowBlank="1" showInputMessage="1" showErrorMessage="1" error="Values must be between 1 and 240 months" sqref="FW23">
      <formula1>6</formula1>
      <formula2>180</formula2>
    </dataValidation>
    <dataValidation type="whole" allowBlank="1" showInputMessage="1" showErrorMessage="1" errorTitle="Flight Hour Range" error="2,000 - 4,000 flight hours." sqref="N7">
      <formula1>1500</formula1>
      <formula2>4800</formula2>
    </dataValidation>
    <dataValidation type="list" allowBlank="1" showInputMessage="1" showErrorMessage="1" sqref="Q7">
      <formula1>$FS$6:$FS$26</formula1>
    </dataValidation>
    <dataValidation type="list" allowBlank="1" showInputMessage="1" showErrorMessage="1" sqref="FW29">
      <formula1>$FM$6:$FM$15</formula1>
    </dataValidation>
    <dataValidation type="list" allowBlank="1" showInputMessage="1" showErrorMessage="1" sqref="FU29">
      <formula1>$FL$6:$FL$9</formula1>
    </dataValidation>
    <dataValidation type="list" allowBlank="1" showInputMessage="1" showErrorMessage="1" sqref="O7">
      <formula1>$FR$6:$FR$46</formula1>
    </dataValidation>
    <dataValidation type="list" allowBlank="1" showInputMessage="1" showErrorMessage="1" sqref="E26">
      <formula1>$FT$6:$FT$7</formula1>
    </dataValidation>
    <dataValidation type="list" allowBlank="1" showInputMessage="1" showErrorMessage="1" sqref="S7">
      <formula1>$FV$6:$FV$8</formula1>
    </dataValidation>
    <dataValidation type="list" allowBlank="1" showInputMessage="1" showErrorMessage="1" sqref="U7">
      <formula1>$FU$6:$FU$12</formula1>
    </dataValidation>
    <dataValidation type="list" showInputMessage="1" showErrorMessage="1" errorTitle="Flight Hour Range" error="2,000 - 4,000 flight hours." sqref="M7">
      <formula1>$AB$6:$AB$12</formula1>
    </dataValidation>
  </dataValidations>
  <printOptions horizontalCentered="1"/>
  <pageMargins left="0.5" right="0.5" top="0.75" bottom="0.5" header="0.5" footer="0.5"/>
  <pageSetup scale="80" orientation="landscape" r:id="rId1"/>
  <headerFooter scaleWithDoc="0" alignWithMargins="0">
    <oddFooter>&amp;L&amp;9Maintenance Forecast Report&amp;C&amp;9Page &amp;P of &amp;N&amp;R&amp;9&amp;D</oddFooter>
  </headerFooter>
  <rowBreaks count="5" manualBreakCount="5">
    <brk id="60" max="25" man="1"/>
    <brk id="117" max="25" man="1"/>
    <brk id="169" max="25" man="1"/>
    <brk id="221" max="25" man="1"/>
    <brk id="260" max="17" man="1"/>
  </rowBreaks>
  <ignoredErrors>
    <ignoredError sqref="Z37:AA48 W697:Y801 J249:K249 J324:K801 G324:G801 G249 N249 N697:S801 U697:U801 C249:E249 C324:E801 N324:N696 D68:E68 C69:E69 D70:E248 G69:G248 C28:Y67 F69 H69:Y248 C70:C248 F70:F248 F68:Y68" unlockedFormula="1"/>
    <ignoredError sqref="EL5"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4"/>
  <sheetViews>
    <sheetView zoomScaleNormal="100" workbookViewId="0">
      <selection activeCell="C23" sqref="C23"/>
    </sheetView>
  </sheetViews>
  <sheetFormatPr defaultColWidth="9.140625" defaultRowHeight="11.25" x14ac:dyDescent="0.2"/>
  <cols>
    <col min="1" max="1" width="0.85546875" style="143" customWidth="1"/>
    <col min="2" max="2" width="2.85546875" style="143" customWidth="1"/>
    <col min="3" max="3" width="95.28515625" style="143" customWidth="1"/>
    <col min="4" max="4" width="0.85546875" style="143" customWidth="1"/>
    <col min="5" max="16384" width="9.140625" style="143"/>
  </cols>
  <sheetData>
    <row r="1" spans="2:4" ht="1.5" customHeight="1" x14ac:dyDescent="0.2"/>
    <row r="2" spans="2:4" ht="30" customHeight="1" x14ac:dyDescent="0.2">
      <c r="B2" s="215"/>
      <c r="C2" s="214"/>
      <c r="D2" s="13"/>
    </row>
    <row r="3" spans="2:4" x14ac:dyDescent="0.2">
      <c r="B3" s="231"/>
      <c r="C3" s="230"/>
      <c r="D3" s="13"/>
    </row>
    <row r="4" spans="2:4" ht="12" x14ac:dyDescent="0.2">
      <c r="B4" s="241"/>
      <c r="C4" s="235"/>
      <c r="D4" s="13"/>
    </row>
    <row r="5" spans="2:4" ht="12" customHeight="1" x14ac:dyDescent="0.2">
      <c r="B5" s="224"/>
      <c r="C5" s="236" t="s">
        <v>308</v>
      </c>
      <c r="D5" s="13"/>
    </row>
    <row r="6" spans="2:4" ht="12" customHeight="1" x14ac:dyDescent="0.2">
      <c r="B6" s="224"/>
      <c r="C6" s="236" t="s">
        <v>309</v>
      </c>
      <c r="D6" s="13"/>
    </row>
    <row r="7" spans="2:4" ht="12" customHeight="1" x14ac:dyDescent="0.2">
      <c r="B7" s="224"/>
      <c r="C7" s="237" t="s">
        <v>310</v>
      </c>
      <c r="D7" s="13"/>
    </row>
    <row r="8" spans="2:4" x14ac:dyDescent="0.2">
      <c r="B8" s="224"/>
      <c r="C8" s="238"/>
      <c r="D8" s="13"/>
    </row>
    <row r="9" spans="2:4" ht="12" x14ac:dyDescent="0.2">
      <c r="B9" s="224"/>
      <c r="C9" s="236" t="s">
        <v>311</v>
      </c>
      <c r="D9" s="13"/>
    </row>
    <row r="10" spans="2:4" ht="12" x14ac:dyDescent="0.2">
      <c r="B10" s="224"/>
      <c r="C10" s="236" t="s">
        <v>312</v>
      </c>
      <c r="D10" s="13"/>
    </row>
    <row r="11" spans="2:4" ht="12" x14ac:dyDescent="0.2">
      <c r="B11" s="224"/>
      <c r="C11" s="236" t="s">
        <v>313</v>
      </c>
      <c r="D11" s="13"/>
    </row>
    <row r="12" spans="2:4" ht="12" x14ac:dyDescent="0.2">
      <c r="B12" s="224"/>
      <c r="C12" s="237"/>
      <c r="D12" s="13"/>
    </row>
    <row r="13" spans="2:4" ht="12" x14ac:dyDescent="0.2">
      <c r="B13" s="224"/>
      <c r="C13" s="236" t="s">
        <v>314</v>
      </c>
      <c r="D13" s="13"/>
    </row>
    <row r="14" spans="2:4" ht="12" x14ac:dyDescent="0.2">
      <c r="B14" s="224"/>
      <c r="C14" s="237" t="s">
        <v>315</v>
      </c>
      <c r="D14" s="13"/>
    </row>
    <row r="15" spans="2:4" ht="12" x14ac:dyDescent="0.2">
      <c r="B15" s="224"/>
      <c r="C15" s="239" t="s">
        <v>316</v>
      </c>
      <c r="D15" s="13"/>
    </row>
    <row r="16" spans="2:4" x14ac:dyDescent="0.2">
      <c r="B16" s="224"/>
      <c r="C16" s="238"/>
      <c r="D16" s="4"/>
    </row>
    <row r="17" spans="2:3" ht="12" x14ac:dyDescent="0.2">
      <c r="B17" s="224"/>
      <c r="C17" s="236" t="s">
        <v>317</v>
      </c>
    </row>
    <row r="18" spans="2:3" ht="12" x14ac:dyDescent="0.2">
      <c r="B18" s="224"/>
      <c r="C18" s="237" t="s">
        <v>318</v>
      </c>
    </row>
    <row r="19" spans="2:3" ht="12" x14ac:dyDescent="0.2">
      <c r="B19" s="224"/>
      <c r="C19" s="239"/>
    </row>
    <row r="20" spans="2:3" ht="12" x14ac:dyDescent="0.2">
      <c r="B20" s="224"/>
      <c r="C20" s="236" t="s">
        <v>319</v>
      </c>
    </row>
    <row r="21" spans="2:3" ht="12" x14ac:dyDescent="0.2">
      <c r="B21" s="224"/>
      <c r="C21" s="237" t="s">
        <v>338</v>
      </c>
    </row>
    <row r="22" spans="2:3" x14ac:dyDescent="0.2">
      <c r="B22" s="224"/>
      <c r="C22" s="238"/>
    </row>
    <row r="23" spans="2:3" ht="11.25" customHeight="1" x14ac:dyDescent="0.2">
      <c r="B23" s="224"/>
      <c r="C23" s="236" t="s">
        <v>320</v>
      </c>
    </row>
    <row r="24" spans="2:3" ht="12" x14ac:dyDescent="0.2">
      <c r="B24" s="224"/>
      <c r="C24" s="236" t="s">
        <v>321</v>
      </c>
    </row>
    <row r="25" spans="2:3" ht="12" x14ac:dyDescent="0.2">
      <c r="B25" s="224"/>
      <c r="C25" s="236" t="s">
        <v>322</v>
      </c>
    </row>
    <row r="26" spans="2:3" ht="12" x14ac:dyDescent="0.2">
      <c r="B26" s="224"/>
      <c r="C26" s="237"/>
    </row>
    <row r="27" spans="2:3" ht="12" x14ac:dyDescent="0.2">
      <c r="B27" s="224"/>
      <c r="C27" s="237" t="s">
        <v>323</v>
      </c>
    </row>
    <row r="28" spans="2:3" ht="12" x14ac:dyDescent="0.2">
      <c r="B28" s="224"/>
      <c r="C28" s="237" t="s">
        <v>324</v>
      </c>
    </row>
    <row r="29" spans="2:3" ht="12" x14ac:dyDescent="0.2">
      <c r="B29" s="224"/>
      <c r="C29" s="237"/>
    </row>
    <row r="30" spans="2:3" ht="12" x14ac:dyDescent="0.2">
      <c r="B30" s="224"/>
      <c r="C30" s="237" t="s">
        <v>325</v>
      </c>
    </row>
    <row r="31" spans="2:3" ht="12" x14ac:dyDescent="0.2">
      <c r="B31" s="224"/>
      <c r="C31" s="237" t="s">
        <v>326</v>
      </c>
    </row>
    <row r="32" spans="2:3" ht="12" x14ac:dyDescent="0.2">
      <c r="B32" s="224"/>
      <c r="C32" s="239"/>
    </row>
    <row r="33" spans="2:3" ht="12" x14ac:dyDescent="0.2">
      <c r="B33" s="224"/>
      <c r="C33" s="237" t="s">
        <v>307</v>
      </c>
    </row>
    <row r="34" spans="2:3" x14ac:dyDescent="0.2">
      <c r="B34" s="224"/>
      <c r="C34" s="238"/>
    </row>
    <row r="35" spans="2:3" ht="12" x14ac:dyDescent="0.2">
      <c r="B35" s="224"/>
      <c r="C35" s="236" t="s">
        <v>302</v>
      </c>
    </row>
    <row r="36" spans="2:3" ht="12" x14ac:dyDescent="0.2">
      <c r="B36" s="224"/>
      <c r="C36" s="236" t="s">
        <v>303</v>
      </c>
    </row>
    <row r="37" spans="2:3" ht="12" x14ac:dyDescent="0.2">
      <c r="B37" s="224"/>
      <c r="C37" s="237"/>
    </row>
    <row r="38" spans="2:3" ht="12" x14ac:dyDescent="0.2">
      <c r="B38" s="224"/>
      <c r="C38" s="239" t="s">
        <v>306</v>
      </c>
    </row>
    <row r="39" spans="2:3" x14ac:dyDescent="0.2">
      <c r="B39" s="224"/>
      <c r="C39" s="238"/>
    </row>
    <row r="40" spans="2:3" ht="12" x14ac:dyDescent="0.2">
      <c r="B40" s="224"/>
      <c r="C40" s="236" t="s">
        <v>304</v>
      </c>
    </row>
    <row r="41" spans="2:3" ht="12" x14ac:dyDescent="0.2">
      <c r="B41" s="224"/>
      <c r="C41" s="236" t="s">
        <v>305</v>
      </c>
    </row>
    <row r="42" spans="2:3" ht="12" x14ac:dyDescent="0.2">
      <c r="B42" s="224"/>
      <c r="C42" s="239"/>
    </row>
    <row r="43" spans="2:3" ht="12" x14ac:dyDescent="0.2">
      <c r="B43" s="224"/>
      <c r="C43" s="237" t="s">
        <v>334</v>
      </c>
    </row>
    <row r="44" spans="2:3" ht="12" x14ac:dyDescent="0.2">
      <c r="B44" s="224"/>
      <c r="C44" s="237" t="s">
        <v>327</v>
      </c>
    </row>
    <row r="45" spans="2:3" ht="12" x14ac:dyDescent="0.2">
      <c r="B45" s="224"/>
      <c r="C45" s="237"/>
    </row>
    <row r="46" spans="2:3" ht="12" x14ac:dyDescent="0.2">
      <c r="B46" s="224"/>
      <c r="C46" s="237" t="s">
        <v>328</v>
      </c>
    </row>
    <row r="47" spans="2:3" ht="12" x14ac:dyDescent="0.2">
      <c r="B47" s="224"/>
      <c r="C47" s="237" t="s">
        <v>329</v>
      </c>
    </row>
    <row r="48" spans="2:3" ht="12" x14ac:dyDescent="0.2">
      <c r="B48" s="224"/>
      <c r="C48" s="237" t="s">
        <v>330</v>
      </c>
    </row>
    <row r="49" spans="2:3" ht="12" x14ac:dyDescent="0.2">
      <c r="B49" s="224"/>
      <c r="C49" s="237"/>
    </row>
    <row r="50" spans="2:3" ht="12" x14ac:dyDescent="0.2">
      <c r="B50" s="224"/>
      <c r="C50" s="237" t="s">
        <v>331</v>
      </c>
    </row>
    <row r="51" spans="2:3" ht="12" x14ac:dyDescent="0.2">
      <c r="B51" s="224"/>
      <c r="C51" s="237" t="s">
        <v>332</v>
      </c>
    </row>
    <row r="52" spans="2:3" ht="12" x14ac:dyDescent="0.2">
      <c r="B52" s="224"/>
      <c r="C52" s="237" t="s">
        <v>333</v>
      </c>
    </row>
    <row r="53" spans="2:3" ht="12" x14ac:dyDescent="0.2">
      <c r="B53" s="224"/>
      <c r="C53" s="237"/>
    </row>
    <row r="54" spans="2:3" ht="12" x14ac:dyDescent="0.2">
      <c r="B54" s="224"/>
      <c r="C54" s="237" t="s">
        <v>335</v>
      </c>
    </row>
    <row r="55" spans="2:3" ht="12" x14ac:dyDescent="0.2">
      <c r="B55" s="224"/>
      <c r="C55" s="237" t="s">
        <v>336</v>
      </c>
    </row>
    <row r="56" spans="2:3" ht="12" x14ac:dyDescent="0.2">
      <c r="B56" s="224"/>
      <c r="C56" s="237"/>
    </row>
    <row r="57" spans="2:3" ht="12" x14ac:dyDescent="0.2">
      <c r="B57" s="224"/>
      <c r="C57" s="237" t="s">
        <v>337</v>
      </c>
    </row>
    <row r="58" spans="2:3" ht="6" customHeight="1" x14ac:dyDescent="0.2">
      <c r="B58" s="224"/>
      <c r="C58" s="237"/>
    </row>
    <row r="59" spans="2:3" ht="12" x14ac:dyDescent="0.2">
      <c r="B59" s="234"/>
      <c r="C59" s="240"/>
    </row>
    <row r="60" spans="2:3" ht="12" x14ac:dyDescent="0.2">
      <c r="C60" s="233"/>
    </row>
    <row r="61" spans="2:3" ht="12" x14ac:dyDescent="0.2">
      <c r="C61" s="233"/>
    </row>
    <row r="62" spans="2:3" ht="12" x14ac:dyDescent="0.2">
      <c r="C62" s="233"/>
    </row>
    <row r="63" spans="2:3" ht="12" x14ac:dyDescent="0.2">
      <c r="C63" s="233"/>
    </row>
    <row r="64" spans="2:3" ht="12" x14ac:dyDescent="0.2">
      <c r="C64" s="233"/>
    </row>
    <row r="65" spans="3:3" ht="12" x14ac:dyDescent="0.2">
      <c r="C65" s="233"/>
    </row>
    <row r="66" spans="3:3" ht="12" x14ac:dyDescent="0.2">
      <c r="C66" s="233"/>
    </row>
    <row r="67" spans="3:3" ht="12" x14ac:dyDescent="0.2">
      <c r="C67" s="233"/>
    </row>
    <row r="68" spans="3:3" ht="12" x14ac:dyDescent="0.2">
      <c r="C68" s="233"/>
    </row>
    <row r="69" spans="3:3" ht="12" x14ac:dyDescent="0.2">
      <c r="C69" s="233"/>
    </row>
    <row r="70" spans="3:3" ht="12" x14ac:dyDescent="0.2">
      <c r="C70" s="233"/>
    </row>
    <row r="71" spans="3:3" ht="12" x14ac:dyDescent="0.2">
      <c r="C71" s="233"/>
    </row>
    <row r="72" spans="3:3" ht="12" x14ac:dyDescent="0.2">
      <c r="C72" s="233"/>
    </row>
    <row r="73" spans="3:3" ht="12" x14ac:dyDescent="0.2">
      <c r="C73" s="233"/>
    </row>
    <row r="74" spans="3:3" ht="12" x14ac:dyDescent="0.2">
      <c r="C74" s="233"/>
    </row>
    <row r="75" spans="3:3" ht="12" x14ac:dyDescent="0.2">
      <c r="C75" s="233"/>
    </row>
    <row r="76" spans="3:3" ht="12" x14ac:dyDescent="0.2">
      <c r="C76" s="233"/>
    </row>
    <row r="77" spans="3:3" ht="12" x14ac:dyDescent="0.2">
      <c r="C77" s="233"/>
    </row>
    <row r="78" spans="3:3" ht="12" x14ac:dyDescent="0.2">
      <c r="C78" s="233"/>
    </row>
    <row r="79" spans="3:3" ht="12" x14ac:dyDescent="0.2">
      <c r="C79" s="233"/>
    </row>
    <row r="80" spans="3:3" ht="12" x14ac:dyDescent="0.2">
      <c r="C80" s="233"/>
    </row>
    <row r="81" spans="3:3" ht="12" x14ac:dyDescent="0.2">
      <c r="C81" s="233"/>
    </row>
    <row r="82" spans="3:3" ht="12" x14ac:dyDescent="0.2">
      <c r="C82" s="233"/>
    </row>
    <row r="83" spans="3:3" ht="12" x14ac:dyDescent="0.2">
      <c r="C83" s="233"/>
    </row>
    <row r="84" spans="3:3" ht="12" x14ac:dyDescent="0.2">
      <c r="C84" s="233"/>
    </row>
    <row r="85" spans="3:3" ht="12" x14ac:dyDescent="0.2">
      <c r="C85" s="233"/>
    </row>
    <row r="86" spans="3:3" ht="12" x14ac:dyDescent="0.2">
      <c r="C86" s="233"/>
    </row>
    <row r="87" spans="3:3" ht="12" x14ac:dyDescent="0.2">
      <c r="C87" s="233"/>
    </row>
    <row r="88" spans="3:3" ht="12" x14ac:dyDescent="0.2">
      <c r="C88" s="233"/>
    </row>
    <row r="89" spans="3:3" ht="12" x14ac:dyDescent="0.2">
      <c r="C89" s="233"/>
    </row>
    <row r="90" spans="3:3" ht="12" x14ac:dyDescent="0.2">
      <c r="C90" s="233"/>
    </row>
    <row r="91" spans="3:3" ht="12" x14ac:dyDescent="0.2">
      <c r="C91" s="233"/>
    </row>
    <row r="92" spans="3:3" ht="12" x14ac:dyDescent="0.2">
      <c r="C92" s="233"/>
    </row>
    <row r="93" spans="3:3" ht="12" x14ac:dyDescent="0.2">
      <c r="C93" s="233"/>
    </row>
    <row r="94" spans="3:3" ht="12" x14ac:dyDescent="0.2">
      <c r="C94" s="233"/>
    </row>
    <row r="95" spans="3:3" ht="12" x14ac:dyDescent="0.2">
      <c r="C95" s="233"/>
    </row>
    <row r="96" spans="3:3" ht="12" x14ac:dyDescent="0.2">
      <c r="C96" s="233"/>
    </row>
    <row r="97" spans="3:3" ht="12" x14ac:dyDescent="0.2">
      <c r="C97" s="233"/>
    </row>
    <row r="98" spans="3:3" ht="12" x14ac:dyDescent="0.2">
      <c r="C98" s="233"/>
    </row>
    <row r="99" spans="3:3" ht="12" x14ac:dyDescent="0.2">
      <c r="C99" s="233"/>
    </row>
    <row r="100" spans="3:3" ht="12" x14ac:dyDescent="0.2">
      <c r="C100" s="233"/>
    </row>
    <row r="101" spans="3:3" ht="12" x14ac:dyDescent="0.2">
      <c r="C101" s="233"/>
    </row>
    <row r="102" spans="3:3" ht="12" x14ac:dyDescent="0.2">
      <c r="C102" s="233"/>
    </row>
    <row r="103" spans="3:3" ht="12" x14ac:dyDescent="0.2">
      <c r="C103" s="233"/>
    </row>
    <row r="104" spans="3:3" ht="12" x14ac:dyDescent="0.2">
      <c r="C104" s="233"/>
    </row>
    <row r="105" spans="3:3" ht="12" x14ac:dyDescent="0.2">
      <c r="C105" s="233"/>
    </row>
    <row r="106" spans="3:3" ht="12" x14ac:dyDescent="0.2">
      <c r="C106" s="233"/>
    </row>
    <row r="107" spans="3:3" ht="12" x14ac:dyDescent="0.2">
      <c r="C107" s="233"/>
    </row>
    <row r="108" spans="3:3" ht="12" x14ac:dyDescent="0.2">
      <c r="C108" s="233"/>
    </row>
    <row r="109" spans="3:3" ht="12" x14ac:dyDescent="0.2">
      <c r="C109" s="233"/>
    </row>
    <row r="110" spans="3:3" ht="12" x14ac:dyDescent="0.2">
      <c r="C110" s="233"/>
    </row>
    <row r="111" spans="3:3" ht="12" x14ac:dyDescent="0.2">
      <c r="C111" s="233"/>
    </row>
    <row r="112" spans="3:3" ht="12" x14ac:dyDescent="0.2">
      <c r="C112" s="233"/>
    </row>
    <row r="113" spans="3:3" ht="12" x14ac:dyDescent="0.2">
      <c r="C113" s="233"/>
    </row>
    <row r="114" spans="3:3" ht="12" x14ac:dyDescent="0.2">
      <c r="C114" s="233"/>
    </row>
    <row r="115" spans="3:3" ht="12" x14ac:dyDescent="0.2">
      <c r="C115" s="233"/>
    </row>
    <row r="116" spans="3:3" ht="12" x14ac:dyDescent="0.2">
      <c r="C116" s="233"/>
    </row>
    <row r="117" spans="3:3" ht="12" x14ac:dyDescent="0.2">
      <c r="C117" s="233"/>
    </row>
    <row r="118" spans="3:3" ht="12" x14ac:dyDescent="0.2">
      <c r="C118" s="233"/>
    </row>
    <row r="119" spans="3:3" ht="12" x14ac:dyDescent="0.2">
      <c r="C119" s="233"/>
    </row>
    <row r="120" spans="3:3" ht="12" x14ac:dyDescent="0.2">
      <c r="C120" s="233"/>
    </row>
    <row r="121" spans="3:3" x14ac:dyDescent="0.2">
      <c r="C121" s="232"/>
    </row>
    <row r="122" spans="3:3" x14ac:dyDescent="0.2">
      <c r="C122" s="232"/>
    </row>
    <row r="123" spans="3:3" x14ac:dyDescent="0.2">
      <c r="C123" s="232"/>
    </row>
    <row r="124" spans="3:3" x14ac:dyDescent="0.2">
      <c r="C124" s="232"/>
    </row>
  </sheetData>
  <printOptions horizontalCentered="1" verticalCentered="1"/>
  <pageMargins left="0.5" right="0.5" top="0.75" bottom="0.75" header="0.3" footer="0.3"/>
  <pageSetup scale="95" fitToWidth="0" orientation="portrait"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91</v>
      </c>
      <c r="B1" t="s">
        <v>85</v>
      </c>
    </row>
    <row r="2" spans="1:2" x14ac:dyDescent="0.25">
      <c r="A2" t="s">
        <v>92</v>
      </c>
    </row>
    <row r="3" spans="1:2" x14ac:dyDescent="0.25">
      <c r="A3" t="s">
        <v>93</v>
      </c>
    </row>
    <row r="4" spans="1:2" x14ac:dyDescent="0.25">
      <c r="A4" t="s">
        <v>94</v>
      </c>
    </row>
    <row r="5" spans="1:2" x14ac:dyDescent="0.25">
      <c r="A5" t="s">
        <v>95</v>
      </c>
    </row>
    <row r="6" spans="1:2" x14ac:dyDescent="0.25">
      <c r="A6" t="s">
        <v>96</v>
      </c>
    </row>
    <row r="7" spans="1:2" x14ac:dyDescent="0.25">
      <c r="A7" t="s">
        <v>97</v>
      </c>
    </row>
    <row r="8" spans="1:2" x14ac:dyDescent="0.25">
      <c r="A8" t="s">
        <v>98</v>
      </c>
    </row>
    <row r="9" spans="1:2" x14ac:dyDescent="0.25">
      <c r="A9" t="s">
        <v>99</v>
      </c>
    </row>
    <row r="10" spans="1:2" x14ac:dyDescent="0.25">
      <c r="A10" t="s">
        <v>100</v>
      </c>
    </row>
    <row r="11" spans="1:2" x14ac:dyDescent="0.25">
      <c r="A11" t="s">
        <v>101</v>
      </c>
    </row>
    <row r="12" spans="1:2" x14ac:dyDescent="0.25">
      <c r="A12" t="s">
        <v>102</v>
      </c>
    </row>
    <row r="13" spans="1:2" x14ac:dyDescent="0.25">
      <c r="A13" t="s">
        <v>103</v>
      </c>
    </row>
    <row r="14" spans="1:2" x14ac:dyDescent="0.25">
      <c r="A14" t="s">
        <v>104</v>
      </c>
    </row>
    <row r="15" spans="1:2" x14ac:dyDescent="0.25">
      <c r="A15" t="s">
        <v>105</v>
      </c>
    </row>
    <row r="16" spans="1:2"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120</v>
      </c>
    </row>
    <row r="31" spans="1:1" x14ac:dyDescent="0.25">
      <c r="A31" t="s">
        <v>121</v>
      </c>
    </row>
    <row r="32" spans="1:1" x14ac:dyDescent="0.25">
      <c r="A32" t="s">
        <v>122</v>
      </c>
    </row>
    <row r="33" spans="1:1" x14ac:dyDescent="0.25">
      <c r="A33" t="s">
        <v>123</v>
      </c>
    </row>
    <row r="34" spans="1:1" x14ac:dyDescent="0.25">
      <c r="A34" t="s">
        <v>124</v>
      </c>
    </row>
    <row r="35" spans="1:1" x14ac:dyDescent="0.25">
      <c r="A35" t="s">
        <v>125</v>
      </c>
    </row>
    <row r="36" spans="1:1" x14ac:dyDescent="0.25">
      <c r="A36" t="s">
        <v>126</v>
      </c>
    </row>
    <row r="37" spans="1:1" x14ac:dyDescent="0.25">
      <c r="A37" t="s">
        <v>127</v>
      </c>
    </row>
    <row r="38" spans="1:1" x14ac:dyDescent="0.25">
      <c r="A38" t="s">
        <v>128</v>
      </c>
    </row>
    <row r="39" spans="1:1" x14ac:dyDescent="0.25">
      <c r="A39" t="s">
        <v>129</v>
      </c>
    </row>
    <row r="40" spans="1:1" x14ac:dyDescent="0.25">
      <c r="A40"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SOURCE</vt:lpstr>
      <vt:lpstr>Mtx COSTS &amp; INTERVALS</vt:lpstr>
      <vt:lpstr>TUTORIAL</vt:lpstr>
      <vt:lpstr>Mx FORECAST</vt:lpstr>
      <vt:lpstr>Mx DEFINITIONS</vt:lpstr>
      <vt:lpstr>'Mtx COSTS &amp; INTERVALS'!Print_Area</vt:lpstr>
      <vt:lpstr>'Mx DEFINITIONS'!Print_Area</vt:lpstr>
      <vt:lpstr>'Mx FORECAST'!Print_Area</vt:lpstr>
      <vt:lpstr>TUTORIAL!Print_Area</vt:lpstr>
      <vt:lpstr>'Mx FORECAST'!Print_Titles</vt:lpstr>
    </vt:vector>
  </TitlesOfParts>
  <Company>Macquarie AirFinance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sackert</dc:creator>
  <cp:lastModifiedBy>Shannon Ackert</cp:lastModifiedBy>
  <cp:lastPrinted>2012-12-29T19:16:53Z</cp:lastPrinted>
  <dcterms:created xsi:type="dcterms:W3CDTF">2009-07-19T00:11:42Z</dcterms:created>
  <dcterms:modified xsi:type="dcterms:W3CDTF">2012-12-29T19:20:42Z</dcterms:modified>
</cp:coreProperties>
</file>